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Q1" sheetId="2" r:id="rId1"/>
    <sheet name="Q2" sheetId="3" r:id="rId2"/>
    <sheet name="Q3" sheetId="4" r:id="rId3"/>
    <sheet name="Q4" sheetId="6" r:id="rId4"/>
    <sheet name="Q5" sheetId="5" r:id="rId5"/>
  </sheets>
  <calcPr calcId="125725"/>
</workbook>
</file>

<file path=xl/calcChain.xml><?xml version="1.0" encoding="utf-8"?>
<calcChain xmlns="http://schemas.openxmlformats.org/spreadsheetml/2006/main">
  <c r="C98" i="5"/>
  <c r="C96"/>
  <c r="B96"/>
  <c r="B95"/>
  <c r="B94"/>
  <c r="C91"/>
  <c r="C89"/>
  <c r="B89"/>
  <c r="B83"/>
  <c r="B82"/>
  <c r="B81"/>
  <c r="C76"/>
  <c r="B76"/>
  <c r="B75"/>
  <c r="B74"/>
  <c r="B73"/>
  <c r="B70"/>
  <c r="B60"/>
  <c r="B61"/>
  <c r="B84" s="1"/>
  <c r="B58"/>
  <c r="C51"/>
  <c r="B51"/>
  <c r="B46"/>
  <c r="B44"/>
  <c r="F36"/>
  <c r="B68" s="1"/>
  <c r="C70" s="1"/>
  <c r="C78" s="1"/>
  <c r="F37"/>
  <c r="B69" s="1"/>
  <c r="F38"/>
  <c r="F33"/>
  <c r="F31"/>
  <c r="F28"/>
  <c r="B45" s="1"/>
  <c r="F27"/>
  <c r="F22"/>
  <c r="F25" s="1"/>
  <c r="B47" s="1"/>
  <c r="E22"/>
  <c r="F20"/>
  <c r="F18"/>
  <c r="F14"/>
  <c r="F16" s="1"/>
  <c r="B42" s="1"/>
  <c r="F10"/>
  <c r="F9"/>
  <c r="F8"/>
  <c r="F5"/>
  <c r="F4"/>
  <c r="D43" i="6"/>
  <c r="C43"/>
  <c r="B43"/>
  <c r="H44"/>
  <c r="G44"/>
  <c r="F44"/>
  <c r="E44"/>
  <c r="D44"/>
  <c r="C44"/>
  <c r="H43"/>
  <c r="G43"/>
  <c r="F43"/>
  <c r="H42"/>
  <c r="G42"/>
  <c r="D42"/>
  <c r="C42"/>
  <c r="B42"/>
  <c r="H41"/>
  <c r="G41"/>
  <c r="F41"/>
  <c r="D41"/>
  <c r="C41"/>
  <c r="B41"/>
  <c r="D40"/>
  <c r="G40"/>
  <c r="F40"/>
  <c r="B29"/>
  <c r="B28"/>
  <c r="D26"/>
  <c r="D25"/>
  <c r="D24"/>
  <c r="D22"/>
  <c r="B26"/>
  <c r="B25"/>
  <c r="B24"/>
  <c r="C26" i="5"/>
  <c r="B26"/>
  <c r="B29" i="4"/>
  <c r="B28"/>
  <c r="B30" s="1"/>
  <c r="B25"/>
  <c r="B26" s="1"/>
  <c r="B16"/>
  <c r="B15"/>
  <c r="C8"/>
  <c r="C7"/>
  <c r="C11" i="3"/>
  <c r="B11"/>
  <c r="C10"/>
  <c r="B10"/>
  <c r="C9"/>
  <c r="B9"/>
  <c r="C8"/>
  <c r="B8"/>
  <c r="C7"/>
  <c r="B7"/>
  <c r="C6"/>
  <c r="B6"/>
  <c r="C5"/>
  <c r="B5"/>
  <c r="D37" i="2"/>
  <c r="D38" s="1"/>
  <c r="D71"/>
  <c r="D72" s="1"/>
  <c r="D67"/>
  <c r="C66"/>
  <c r="D63"/>
  <c r="C62"/>
  <c r="C58"/>
  <c r="D59" s="1"/>
  <c r="D55"/>
  <c r="B49"/>
  <c r="B51" s="1"/>
  <c r="B46"/>
  <c r="B45"/>
  <c r="B44"/>
  <c r="A45"/>
  <c r="A46" s="1"/>
  <c r="C32"/>
  <c r="D33" s="1"/>
  <c r="C28"/>
  <c r="D29" s="1"/>
  <c r="C24"/>
  <c r="D25" s="1"/>
  <c r="D21"/>
  <c r="B17"/>
  <c r="B15"/>
  <c r="D12"/>
  <c r="D11"/>
  <c r="D10"/>
  <c r="C12"/>
  <c r="C11"/>
  <c r="C10"/>
  <c r="B12"/>
  <c r="B11"/>
  <c r="B10"/>
  <c r="A12"/>
  <c r="A11"/>
  <c r="B7"/>
  <c r="F39" i="5" l="1"/>
  <c r="B48" s="1"/>
  <c r="F6"/>
  <c r="C37" s="1"/>
  <c r="C39" s="1"/>
  <c r="F29"/>
  <c r="B85" s="1"/>
  <c r="B43"/>
  <c r="C48" s="1"/>
  <c r="F12"/>
  <c r="C38" s="1"/>
  <c r="D34" i="6"/>
  <c r="B30" s="1"/>
  <c r="C11" i="4"/>
  <c r="B17" s="1"/>
  <c r="B18" s="1"/>
  <c r="C44" i="2"/>
  <c r="C52" i="5" l="1"/>
  <c r="C53"/>
  <c r="B86" s="1"/>
  <c r="C86" s="1"/>
  <c r="B31" i="6"/>
  <c r="B32"/>
  <c r="B33"/>
  <c r="C45" i="2"/>
  <c r="D44"/>
  <c r="C54" i="5" l="1"/>
  <c r="B59" s="1"/>
  <c r="B62" s="1"/>
  <c r="B34" i="6"/>
  <c r="D45" i="2"/>
  <c r="C46"/>
  <c r="D46" s="1"/>
  <c r="B44" i="6" l="1"/>
</calcChain>
</file>

<file path=xl/sharedStrings.xml><?xml version="1.0" encoding="utf-8"?>
<sst xmlns="http://schemas.openxmlformats.org/spreadsheetml/2006/main" count="294" uniqueCount="196">
  <si>
    <t>Question 1</t>
  </si>
  <si>
    <t>a)</t>
  </si>
  <si>
    <t>Cost</t>
  </si>
  <si>
    <t>Useful Life</t>
  </si>
  <si>
    <t>Annual Depreciation</t>
  </si>
  <si>
    <t>Depreciation</t>
  </si>
  <si>
    <t>Year</t>
  </si>
  <si>
    <t>Accumilated Depreciation</t>
  </si>
  <si>
    <t>WDV</t>
  </si>
  <si>
    <t>Gain / Loss on Sale</t>
  </si>
  <si>
    <t>Sale Proceeds</t>
  </si>
  <si>
    <t>Gain / (Loss) on Sale</t>
  </si>
  <si>
    <t>Description</t>
  </si>
  <si>
    <t>Date</t>
  </si>
  <si>
    <t>Dr</t>
  </si>
  <si>
    <t>Cr</t>
  </si>
  <si>
    <t xml:space="preserve">Machinery </t>
  </si>
  <si>
    <t xml:space="preserve">Cash </t>
  </si>
  <si>
    <t xml:space="preserve">To record purchase of machinery </t>
  </si>
  <si>
    <t xml:space="preserve">Depreciation </t>
  </si>
  <si>
    <t>Acc Depreciation</t>
  </si>
  <si>
    <t>Cash</t>
  </si>
  <si>
    <t>P/L</t>
  </si>
  <si>
    <t xml:space="preserve">To record sale of machinery </t>
  </si>
  <si>
    <t xml:space="preserve">              To record annual depreciation expense</t>
  </si>
  <si>
    <t xml:space="preserve">           To record annual depreciation expense</t>
  </si>
  <si>
    <t>b)</t>
  </si>
  <si>
    <t>Question 2</t>
  </si>
  <si>
    <t>Gross Profit Margin</t>
  </si>
  <si>
    <t>Net Profit Margin</t>
  </si>
  <si>
    <t>Inventory Turnover Period (days)</t>
  </si>
  <si>
    <t>Receivables Collection Period (days)</t>
  </si>
  <si>
    <t>Current Ratio</t>
  </si>
  <si>
    <t>Payables Payment Period (days)</t>
  </si>
  <si>
    <t>Quick Ratio</t>
  </si>
  <si>
    <t>GP/Revenue</t>
  </si>
  <si>
    <t>NP/Revenue</t>
  </si>
  <si>
    <t>(Inventory / COGS)*365</t>
  </si>
  <si>
    <t>Company A</t>
  </si>
  <si>
    <t>Company B</t>
  </si>
  <si>
    <t>Formula</t>
  </si>
  <si>
    <t>Ratio</t>
  </si>
  <si>
    <t>Debtors</t>
  </si>
  <si>
    <t>Sales</t>
  </si>
  <si>
    <t>Net Profit</t>
  </si>
  <si>
    <t xml:space="preserve">Gross Profit </t>
  </si>
  <si>
    <t>COGS</t>
  </si>
  <si>
    <t>Inventory</t>
  </si>
  <si>
    <t>(Debtor/Sales) *365</t>
  </si>
  <si>
    <t>Payables</t>
  </si>
  <si>
    <t>Current Assets / Current Liabilities</t>
  </si>
  <si>
    <t>(Current Assets-Inventory) / Current Liabilities</t>
  </si>
  <si>
    <t>Current Assets</t>
  </si>
  <si>
    <t>Current Liabilities</t>
  </si>
  <si>
    <t xml:space="preserve">Data </t>
  </si>
  <si>
    <t xml:space="preserve">Gross profit margin for both companies was same i.e. cost of sales as a proportion of revenues for both was aligned. </t>
  </si>
  <si>
    <t>Company B had a higher net profit margin based on higher revenues and lower indirect expenses as a percentage of said revenues.</t>
  </si>
  <si>
    <t>Company A has lower inventory days indicating that it generates sales faster as compared to company B.</t>
  </si>
  <si>
    <t>Company A has lower debtor days indicating that better collection of debts and smaller credit cycles.</t>
  </si>
  <si>
    <t xml:space="preserve">Company B has higher payable days indicating that it takes longer to pay its creditors compared to company A. </t>
  </si>
  <si>
    <t>Current ratio indicating ability to service short term debt using short term liabilities is same for both companies.</t>
  </si>
  <si>
    <t xml:space="preserve">Company B has a higher quick ratio indication of a greater ability to meet short term commitments. </t>
  </si>
  <si>
    <t>Question 3</t>
  </si>
  <si>
    <t>Revenue</t>
  </si>
  <si>
    <t xml:space="preserve">Variable Cost </t>
  </si>
  <si>
    <t>No of Units</t>
  </si>
  <si>
    <t>Total</t>
  </si>
  <si>
    <t>Per Unit</t>
  </si>
  <si>
    <t xml:space="preserve">Fixed Cost </t>
  </si>
  <si>
    <t>NA</t>
  </si>
  <si>
    <t>No of Units Required = (Fixed Cost + Targer Profit) / Contribution Per Unit</t>
  </si>
  <si>
    <t xml:space="preserve">Target Profit </t>
  </si>
  <si>
    <t>Contribution</t>
  </si>
  <si>
    <t/>
  </si>
  <si>
    <t>c)</t>
  </si>
  <si>
    <t>Breakeven point is the point where total costs and revenues for a business are equal i.e. a point where business is neither making a profit nor a loss.</t>
  </si>
  <si>
    <t xml:space="preserve">Total Cost </t>
  </si>
  <si>
    <t>Total Revenue</t>
  </si>
  <si>
    <t xml:space="preserve">No of Units </t>
  </si>
  <si>
    <t xml:space="preserve">Total </t>
  </si>
  <si>
    <t>Per Unit Sale Price</t>
  </si>
  <si>
    <t>Per Unit Variable Price</t>
  </si>
  <si>
    <t>Per Unit Contribution Margin</t>
  </si>
  <si>
    <t>Accumulated depreciation as of 1 January 2020– machinery</t>
  </si>
  <si>
    <t>Accumulated depreciation as of 1 January 2020 – motor vehicles</t>
  </si>
  <si>
    <t>Furniture &amp; equipment at cost</t>
  </si>
  <si>
    <t>Accumulated depreciation as of 1 January 2020– furniture &amp; equipment</t>
  </si>
  <si>
    <t>Long term loan (repayable on 30 November 2022)</t>
  </si>
  <si>
    <t>Machinery at cost</t>
  </si>
  <si>
    <t xml:space="preserve">Motor vehicles at cost </t>
  </si>
  <si>
    <t>Ordinary share capital</t>
  </si>
  <si>
    <t>9% preference share capital</t>
  </si>
  <si>
    <t>Trade receivables &amp; payables</t>
  </si>
  <si>
    <t>Allowance for doubtful debts</t>
  </si>
  <si>
    <t>Sales &amp; purchases</t>
  </si>
  <si>
    <t>Salaries &amp; wages</t>
  </si>
  <si>
    <t>Bank</t>
  </si>
  <si>
    <t>Bad debts</t>
  </si>
  <si>
    <t>Returns</t>
  </si>
  <si>
    <t>Discounts</t>
  </si>
  <si>
    <t>Loan interest</t>
  </si>
  <si>
    <t>Telephone expenses</t>
  </si>
  <si>
    <t>Rent, rates and insurance</t>
  </si>
  <si>
    <t>Inventory as of 1 January 2020</t>
  </si>
  <si>
    <t>Retained earnings as of 1 January 2020</t>
  </si>
  <si>
    <t>Rent Payable</t>
  </si>
  <si>
    <t>Interest Payable</t>
  </si>
  <si>
    <t>Purchases</t>
  </si>
  <si>
    <t>Closing Stock</t>
  </si>
  <si>
    <t>Gross Profit</t>
  </si>
  <si>
    <t>Profit Before Tax</t>
  </si>
  <si>
    <t>Tax @ 30%</t>
  </si>
  <si>
    <t>Total Assets</t>
  </si>
  <si>
    <t xml:space="preserve">Prepaid Insurance </t>
  </si>
  <si>
    <t>Non Current Liabilities</t>
  </si>
  <si>
    <t>Total Liabilities</t>
  </si>
  <si>
    <t>Equity</t>
  </si>
  <si>
    <t>Common Stock</t>
  </si>
  <si>
    <t>Total Liabilities and Equity</t>
  </si>
  <si>
    <t>Dividend Payable</t>
  </si>
  <si>
    <t>Question 5</t>
  </si>
  <si>
    <t>Particualars</t>
  </si>
  <si>
    <t>Amount (RM)</t>
  </si>
  <si>
    <t>Particulars</t>
  </si>
  <si>
    <t>Interest on capital:</t>
  </si>
  <si>
    <t>Interest on drawings</t>
  </si>
  <si>
    <t>Salaries:</t>
  </si>
  <si>
    <t>Lee</t>
  </si>
  <si>
    <t>Tony</t>
  </si>
  <si>
    <t>Capital a/c</t>
  </si>
  <si>
    <t>Current a/c</t>
  </si>
  <si>
    <t>John</t>
  </si>
  <si>
    <t>Source Data:</t>
  </si>
  <si>
    <t>Profit for the year (Given)</t>
  </si>
  <si>
    <t xml:space="preserve">John </t>
  </si>
  <si>
    <t xml:space="preserve">Lee </t>
  </si>
  <si>
    <t xml:space="preserve">Tony </t>
  </si>
  <si>
    <t>Salaries</t>
  </si>
  <si>
    <t>Profit Distribution</t>
  </si>
  <si>
    <t>Solution</t>
  </si>
  <si>
    <t>Opening balance</t>
  </si>
  <si>
    <t xml:space="preserve">Partners'current accounts </t>
  </si>
  <si>
    <t>Drawings</t>
  </si>
  <si>
    <t>Drawing</t>
  </si>
  <si>
    <t>Interest on Capital</t>
  </si>
  <si>
    <t>Interest on Drawing</t>
  </si>
  <si>
    <t>Profit Share</t>
  </si>
  <si>
    <t>Ending Balance</t>
  </si>
  <si>
    <t>Workings</t>
  </si>
  <si>
    <t xml:space="preserve">Gross Sales </t>
  </si>
  <si>
    <t>Return Inward</t>
  </si>
  <si>
    <t>Net Sales</t>
  </si>
  <si>
    <t xml:space="preserve">COGS </t>
  </si>
  <si>
    <t xml:space="preserve">Operning Stock </t>
  </si>
  <si>
    <t>Return Outward</t>
  </si>
  <si>
    <t>Salaries and Wages (existing)</t>
  </si>
  <si>
    <t>Wages Due</t>
  </si>
  <si>
    <t>Total Salary Expense</t>
  </si>
  <si>
    <t>Bad Debt (current)</t>
  </si>
  <si>
    <t xml:space="preserve">Additional </t>
  </si>
  <si>
    <t>Total Bad debt</t>
  </si>
  <si>
    <t>Accrued Rent</t>
  </si>
  <si>
    <t>Total Rent Expense</t>
  </si>
  <si>
    <t>Loan Intrest (Current)</t>
  </si>
  <si>
    <t>Loan Intrest (Additional) - Payable</t>
  </si>
  <si>
    <t>Loan Intrest (Annual) - Expense</t>
  </si>
  <si>
    <t>Additonal Allowance</t>
  </si>
  <si>
    <t xml:space="preserve">Allowance of dobtlful Opening </t>
  </si>
  <si>
    <t xml:space="preserve">Allowance of dobtlful debt (Closing) </t>
  </si>
  <si>
    <t>Vehicle</t>
  </si>
  <si>
    <t>Furniture</t>
  </si>
  <si>
    <t xml:space="preserve">a) Income Statement </t>
  </si>
  <si>
    <t xml:space="preserve">Sales </t>
  </si>
  <si>
    <t>Less COGS</t>
  </si>
  <si>
    <t>Less Other Expenses:</t>
  </si>
  <si>
    <t>Discount Allowed</t>
  </si>
  <si>
    <t>Depreciataion</t>
  </si>
  <si>
    <t xml:space="preserve">Other Income </t>
  </si>
  <si>
    <t>Discount Received</t>
  </si>
  <si>
    <t xml:space="preserve">Movement of Retained Earnings </t>
  </si>
  <si>
    <t>Opening Balance</t>
  </si>
  <si>
    <t>Dividend- Ordinary</t>
  </si>
  <si>
    <t>Dividend- Preference</t>
  </si>
  <si>
    <t>Closing Balance</t>
  </si>
  <si>
    <t>Profit</t>
  </si>
  <si>
    <t>a) Balance Sheet</t>
  </si>
  <si>
    <t>Non Current Assets</t>
  </si>
  <si>
    <t xml:space="preserve">Bank </t>
  </si>
  <si>
    <t>Receivebales</t>
  </si>
  <si>
    <t>Prepaid Insurance</t>
  </si>
  <si>
    <t xml:space="preserve">Wages Payable </t>
  </si>
  <si>
    <t>Acc Payable</t>
  </si>
  <si>
    <t>Income Tax Payable</t>
  </si>
  <si>
    <t>Loan</t>
  </si>
  <si>
    <t>Preffered Stock</t>
  </si>
  <si>
    <t>Retained Earning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</si>
</sst>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  <numFmt numFmtId="174" formatCode="_(* #,##0_);_(* \(#,##0\);_(* &quot;-&quot;?_);_(@_)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333333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333333"/>
      <name val="Calibri"/>
      <family val="2"/>
      <scheme val="minor"/>
    </font>
    <font>
      <b/>
      <sz val="10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3" tint="0.39997558519241921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theme="3" tint="0.39994506668294322"/>
      </left>
      <right style="medium">
        <color theme="3" tint="0.39994506668294322"/>
      </right>
      <top style="medium">
        <color theme="3" tint="0.39994506668294322"/>
      </top>
      <bottom/>
      <diagonal/>
    </border>
    <border>
      <left style="medium">
        <color theme="3" tint="0.39994506668294322"/>
      </left>
      <right style="medium">
        <color theme="3" tint="0.39994506668294322"/>
      </right>
      <top/>
      <bottom/>
      <diagonal/>
    </border>
    <border>
      <left style="medium">
        <color theme="3" tint="0.39994506668294322"/>
      </left>
      <right style="medium">
        <color theme="3" tint="0.39994506668294322"/>
      </right>
      <top/>
      <bottom style="medium">
        <color theme="3" tint="0.39994506668294322"/>
      </bottom>
      <diagonal/>
    </border>
    <border>
      <left/>
      <right/>
      <top/>
      <bottom style="medium">
        <color theme="3" tint="0.39994506668294322"/>
      </bottom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  <border>
      <left style="medium">
        <color theme="3" tint="0.39994506668294322"/>
      </left>
      <right/>
      <top style="medium">
        <color theme="3" tint="0.39994506668294322"/>
      </top>
      <bottom/>
      <diagonal/>
    </border>
    <border>
      <left/>
      <right style="medium">
        <color theme="3" tint="0.39994506668294322"/>
      </right>
      <top style="medium">
        <color theme="3" tint="0.39994506668294322"/>
      </top>
      <bottom/>
      <diagonal/>
    </border>
    <border>
      <left style="medium">
        <color theme="3" tint="0.39994506668294322"/>
      </left>
      <right/>
      <top/>
      <bottom/>
      <diagonal/>
    </border>
    <border>
      <left/>
      <right style="medium">
        <color theme="3" tint="0.39994506668294322"/>
      </right>
      <top/>
      <bottom/>
      <diagonal/>
    </border>
    <border>
      <left style="medium">
        <color theme="3" tint="0.39994506668294322"/>
      </left>
      <right/>
      <top/>
      <bottom style="medium">
        <color theme="3" tint="0.39994506668294322"/>
      </bottom>
      <diagonal/>
    </border>
    <border>
      <left/>
      <right style="medium">
        <color theme="3" tint="0.39994506668294322"/>
      </right>
      <top/>
      <bottom style="medium">
        <color theme="3" tint="0.39994506668294322"/>
      </bottom>
      <diagonal/>
    </border>
    <border>
      <left/>
      <right/>
      <top style="medium">
        <color theme="3" tint="0.39994506668294322"/>
      </top>
      <bottom/>
      <diagonal/>
    </border>
    <border>
      <left/>
      <right style="medium">
        <color theme="3" tint="0.39994506668294322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2">
    <xf numFmtId="0" fontId="0" fillId="0" borderId="0" xfId="0"/>
    <xf numFmtId="0" fontId="2" fillId="0" borderId="0" xfId="0" applyFont="1"/>
    <xf numFmtId="0" fontId="3" fillId="0" borderId="0" xfId="0" applyFont="1"/>
    <xf numFmtId="165" fontId="3" fillId="0" borderId="0" xfId="1" applyNumberFormat="1" applyFont="1"/>
    <xf numFmtId="165" fontId="3" fillId="0" borderId="0" xfId="0" applyNumberFormat="1" applyFont="1"/>
    <xf numFmtId="43" fontId="3" fillId="0" borderId="0" xfId="1" applyFont="1"/>
    <xf numFmtId="3" fontId="3" fillId="0" borderId="0" xfId="0" applyNumberFormat="1" applyFont="1"/>
    <xf numFmtId="0" fontId="3" fillId="0" borderId="0" xfId="0" quotePrefix="1" applyFont="1"/>
    <xf numFmtId="165" fontId="3" fillId="0" borderId="0" xfId="1" applyNumberFormat="1" applyFont="1" applyBorder="1"/>
    <xf numFmtId="165" fontId="3" fillId="0" borderId="0" xfId="0" applyNumberFormat="1" applyFont="1" applyBorder="1"/>
    <xf numFmtId="0" fontId="10" fillId="3" borderId="2" xfId="0" applyFont="1" applyFill="1" applyBorder="1" applyAlignment="1">
      <alignment horizontal="center"/>
    </xf>
    <xf numFmtId="0" fontId="7" fillId="2" borderId="3" xfId="0" applyFont="1" applyFill="1" applyBorder="1"/>
    <xf numFmtId="0" fontId="6" fillId="2" borderId="3" xfId="0" applyFont="1" applyFill="1" applyBorder="1"/>
    <xf numFmtId="3" fontId="8" fillId="2" borderId="3" xfId="0" applyNumberFormat="1" applyFont="1" applyFill="1" applyBorder="1"/>
    <xf numFmtId="0" fontId="8" fillId="2" borderId="3" xfId="0" applyFont="1" applyFill="1" applyBorder="1"/>
    <xf numFmtId="3" fontId="9" fillId="2" borderId="3" xfId="0" applyNumberFormat="1" applyFont="1" applyFill="1" applyBorder="1"/>
    <xf numFmtId="1" fontId="8" fillId="2" borderId="3" xfId="0" applyNumberFormat="1" applyFont="1" applyFill="1" applyBorder="1"/>
    <xf numFmtId="0" fontId="7" fillId="2" borderId="4" xfId="0" applyFont="1" applyFill="1" applyBorder="1"/>
    <xf numFmtId="3" fontId="6" fillId="2" borderId="4" xfId="0" applyNumberFormat="1" applyFont="1" applyFill="1" applyBorder="1"/>
    <xf numFmtId="0" fontId="10" fillId="3" borderId="2" xfId="0" applyFont="1" applyFill="1" applyBorder="1" applyAlignment="1">
      <alignment horizontal="center"/>
    </xf>
    <xf numFmtId="0" fontId="3" fillId="0" borderId="3" xfId="0" applyFont="1" applyBorder="1"/>
    <xf numFmtId="0" fontId="10" fillId="3" borderId="3" xfId="0" applyFont="1" applyFill="1" applyBorder="1" applyAlignment="1">
      <alignment horizontal="center"/>
    </xf>
    <xf numFmtId="3" fontId="3" fillId="0" borderId="3" xfId="0" applyNumberFormat="1" applyFont="1" applyBorder="1"/>
    <xf numFmtId="165" fontId="3" fillId="0" borderId="3" xfId="1" applyNumberFormat="1" applyFont="1" applyBorder="1"/>
    <xf numFmtId="1" fontId="3" fillId="0" borderId="3" xfId="0" applyNumberFormat="1" applyFont="1" applyBorder="1"/>
    <xf numFmtId="165" fontId="2" fillId="0" borderId="4" xfId="1" applyNumberFormat="1" applyFont="1" applyBorder="1"/>
    <xf numFmtId="0" fontId="2" fillId="3" borderId="2" xfId="0" applyFont="1" applyFill="1" applyBorder="1"/>
    <xf numFmtId="0" fontId="3" fillId="3" borderId="3" xfId="0" applyFont="1" applyFill="1" applyBorder="1"/>
    <xf numFmtId="0" fontId="10" fillId="3" borderId="6" xfId="0" applyFont="1" applyFill="1" applyBorder="1" applyAlignment="1">
      <alignment horizontal="center" wrapText="1"/>
    </xf>
    <xf numFmtId="0" fontId="10" fillId="3" borderId="6" xfId="0" applyFont="1" applyFill="1" applyBorder="1" applyAlignment="1">
      <alignment horizontal="center"/>
    </xf>
    <xf numFmtId="0" fontId="3" fillId="0" borderId="6" xfId="0" applyFont="1" applyBorder="1" applyAlignment="1">
      <alignment wrapText="1"/>
    </xf>
    <xf numFmtId="165" fontId="3" fillId="0" borderId="6" xfId="1" applyNumberFormat="1" applyFont="1" applyBorder="1"/>
    <xf numFmtId="0" fontId="2" fillId="0" borderId="6" xfId="0" applyFont="1" applyBorder="1" applyAlignment="1">
      <alignment wrapText="1"/>
    </xf>
    <xf numFmtId="165" fontId="2" fillId="0" borderId="6" xfId="1" applyNumberFormat="1" applyFont="1" applyBorder="1"/>
    <xf numFmtId="0" fontId="2" fillId="0" borderId="7" xfId="0" applyFont="1" applyBorder="1"/>
    <xf numFmtId="0" fontId="3" fillId="0" borderId="8" xfId="0" applyFont="1" applyBorder="1"/>
    <xf numFmtId="0" fontId="3" fillId="0" borderId="9" xfId="0" applyFont="1" applyBorder="1"/>
    <xf numFmtId="165" fontId="3" fillId="0" borderId="10" xfId="0" applyNumberFormat="1" applyFont="1" applyBorder="1"/>
    <xf numFmtId="0" fontId="2" fillId="0" borderId="9" xfId="0" applyFont="1" applyBorder="1"/>
    <xf numFmtId="165" fontId="2" fillId="0" borderId="10" xfId="0" applyNumberFormat="1" applyFont="1" applyBorder="1"/>
    <xf numFmtId="0" fontId="3" fillId="0" borderId="10" xfId="0" applyFont="1" applyBorder="1"/>
    <xf numFmtId="165" fontId="3" fillId="0" borderId="10" xfId="1" applyNumberFormat="1" applyFont="1" applyBorder="1"/>
    <xf numFmtId="165" fontId="2" fillId="0" borderId="10" xfId="1" applyNumberFormat="1" applyFont="1" applyBorder="1"/>
    <xf numFmtId="0" fontId="2" fillId="0" borderId="11" xfId="0" applyFont="1" applyBorder="1"/>
    <xf numFmtId="165" fontId="2" fillId="0" borderId="12" xfId="0" applyNumberFormat="1" applyFont="1" applyBorder="1"/>
    <xf numFmtId="0" fontId="3" fillId="0" borderId="7" xfId="0" applyFont="1" applyBorder="1"/>
    <xf numFmtId="0" fontId="3" fillId="0" borderId="13" xfId="0" applyFont="1" applyBorder="1"/>
    <xf numFmtId="0" fontId="3" fillId="0" borderId="0" xfId="0" applyFont="1" applyBorder="1"/>
    <xf numFmtId="165" fontId="3" fillId="0" borderId="14" xfId="0" applyNumberFormat="1" applyFont="1" applyBorder="1"/>
    <xf numFmtId="0" fontId="5" fillId="0" borderId="9" xfId="0" applyFont="1" applyBorder="1"/>
    <xf numFmtId="174" fontId="3" fillId="0" borderId="10" xfId="0" applyNumberFormat="1" applyFont="1" applyBorder="1"/>
    <xf numFmtId="0" fontId="3" fillId="0" borderId="11" xfId="0" applyFont="1" applyBorder="1"/>
    <xf numFmtId="0" fontId="3" fillId="0" borderId="5" xfId="0" applyFont="1" applyBorder="1"/>
    <xf numFmtId="0" fontId="3" fillId="0" borderId="12" xfId="0" applyFont="1" applyBorder="1"/>
    <xf numFmtId="165" fontId="2" fillId="0" borderId="12" xfId="1" applyNumberFormat="1" applyFont="1" applyBorder="1"/>
    <xf numFmtId="165" fontId="2" fillId="0" borderId="1" xfId="0" applyNumberFormat="1" applyFont="1" applyBorder="1"/>
    <xf numFmtId="0" fontId="2" fillId="0" borderId="0" xfId="0" applyFont="1" applyBorder="1"/>
    <xf numFmtId="174" fontId="3" fillId="0" borderId="0" xfId="0" applyNumberFormat="1" applyFont="1" applyBorder="1"/>
    <xf numFmtId="0" fontId="10" fillId="3" borderId="6" xfId="0" applyFont="1" applyFill="1" applyBorder="1" applyAlignment="1">
      <alignment horizontal="center" vertical="center"/>
    </xf>
    <xf numFmtId="0" fontId="3" fillId="0" borderId="6" xfId="0" applyFont="1" applyBorder="1"/>
    <xf numFmtId="3" fontId="3" fillId="0" borderId="6" xfId="0" applyNumberFormat="1" applyFont="1" applyBorder="1"/>
    <xf numFmtId="3" fontId="3" fillId="0" borderId="6" xfId="0" applyNumberFormat="1" applyFont="1" applyFill="1" applyBorder="1"/>
    <xf numFmtId="0" fontId="10" fillId="3" borderId="15" xfId="0" applyFont="1" applyFill="1" applyBorder="1" applyAlignment="1">
      <alignment horizontal="center" vertical="center" wrapText="1"/>
    </xf>
    <xf numFmtId="9" fontId="3" fillId="0" borderId="6" xfId="2" applyFont="1" applyBorder="1"/>
    <xf numFmtId="164" fontId="3" fillId="0" borderId="6" xfId="1" applyNumberFormat="1" applyFont="1" applyBorder="1"/>
    <xf numFmtId="0" fontId="3" fillId="0" borderId="6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top" wrapText="1"/>
    </xf>
    <xf numFmtId="0" fontId="10" fillId="3" borderId="6" xfId="0" applyFont="1" applyFill="1" applyBorder="1" applyAlignment="1">
      <alignment horizontal="center" vertical="center" wrapText="1"/>
    </xf>
    <xf numFmtId="165" fontId="10" fillId="3" borderId="6" xfId="1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/>
    </xf>
    <xf numFmtId="165" fontId="3" fillId="0" borderId="6" xfId="0" applyNumberFormat="1" applyFont="1" applyBorder="1" applyAlignment="1">
      <alignment horizontal="center"/>
    </xf>
    <xf numFmtId="165" fontId="3" fillId="0" borderId="6" xfId="1" applyNumberFormat="1" applyFont="1" applyBorder="1" applyAlignment="1">
      <alignment horizontal="center"/>
    </xf>
    <xf numFmtId="15" fontId="3" fillId="0" borderId="6" xfId="0" applyNumberFormat="1" applyFont="1" applyBorder="1"/>
    <xf numFmtId="0" fontId="4" fillId="0" borderId="6" xfId="0" applyFont="1" applyBorder="1" applyAlignment="1">
      <alignment horizontal="center"/>
    </xf>
    <xf numFmtId="0" fontId="2" fillId="0" borderId="6" xfId="0" applyFont="1" applyBorder="1"/>
    <xf numFmtId="165" fontId="2" fillId="0" borderId="6" xfId="0" applyNumberFormat="1" applyFont="1" applyBorder="1"/>
    <xf numFmtId="165" fontId="3" fillId="0" borderId="6" xfId="0" applyNumberFormat="1" applyFont="1" applyBorder="1"/>
    <xf numFmtId="0" fontId="2" fillId="0" borderId="6" xfId="0" applyFont="1" applyBorder="1" applyAlignment="1">
      <alignment horizontal="center"/>
    </xf>
    <xf numFmtId="43" fontId="3" fillId="0" borderId="6" xfId="1" applyFont="1" applyBorder="1"/>
    <xf numFmtId="43" fontId="2" fillId="0" borderId="6" xfId="1" applyFont="1" applyBorder="1"/>
    <xf numFmtId="0" fontId="2" fillId="0" borderId="6" xfId="0" applyFont="1" applyBorder="1" applyAlignment="1">
      <alignment horizontal="left" wrapText="1"/>
    </xf>
    <xf numFmtId="0" fontId="3" fillId="0" borderId="6" xfId="0" applyFont="1" applyBorder="1" applyAlignment="1">
      <alignment horizontal="left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73"/>
  <sheetViews>
    <sheetView showGridLines="0" tabSelected="1" workbookViewId="0">
      <selection activeCell="I10" sqref="I10"/>
    </sheetView>
  </sheetViews>
  <sheetFormatPr defaultRowHeight="12.75"/>
  <cols>
    <col min="1" max="1" width="19.42578125" style="2" bestFit="1" customWidth="1"/>
    <col min="2" max="2" width="18.28515625" style="2" customWidth="1"/>
    <col min="3" max="3" width="16" style="3" customWidth="1"/>
    <col min="4" max="4" width="12" style="3" customWidth="1"/>
    <col min="5" max="16384" width="9.140625" style="2"/>
  </cols>
  <sheetData>
    <row r="2" spans="1:4">
      <c r="A2" s="1" t="s">
        <v>0</v>
      </c>
    </row>
    <row r="4" spans="1:4">
      <c r="A4" s="1" t="s">
        <v>1</v>
      </c>
    </row>
    <row r="5" spans="1:4">
      <c r="A5" s="59" t="s">
        <v>2</v>
      </c>
      <c r="B5" s="31">
        <v>10000</v>
      </c>
    </row>
    <row r="6" spans="1:4">
      <c r="A6" s="59" t="s">
        <v>3</v>
      </c>
      <c r="B6" s="59">
        <v>5</v>
      </c>
    </row>
    <row r="7" spans="1:4">
      <c r="A7" s="59" t="s">
        <v>4</v>
      </c>
      <c r="B7" s="31">
        <f>B5/B6</f>
        <v>2000</v>
      </c>
    </row>
    <row r="9" spans="1:4" ht="25.5">
      <c r="A9" s="67" t="s">
        <v>6</v>
      </c>
      <c r="B9" s="67" t="s">
        <v>5</v>
      </c>
      <c r="C9" s="68" t="s">
        <v>7</v>
      </c>
      <c r="D9" s="68" t="s">
        <v>8</v>
      </c>
    </row>
    <row r="10" spans="1:4">
      <c r="A10" s="69">
        <v>2018</v>
      </c>
      <c r="B10" s="70">
        <f>B7</f>
        <v>2000</v>
      </c>
      <c r="C10" s="71">
        <f>B10</f>
        <v>2000</v>
      </c>
      <c r="D10" s="71">
        <f>$B$5-C10</f>
        <v>8000</v>
      </c>
    </row>
    <row r="11" spans="1:4">
      <c r="A11" s="69">
        <f>A10+1</f>
        <v>2019</v>
      </c>
      <c r="B11" s="70">
        <f>B10</f>
        <v>2000</v>
      </c>
      <c r="C11" s="71">
        <f>C10+B11</f>
        <v>4000</v>
      </c>
      <c r="D11" s="71">
        <f t="shared" ref="D11:D12" si="0">$B$5-C11</f>
        <v>6000</v>
      </c>
    </row>
    <row r="12" spans="1:4">
      <c r="A12" s="69">
        <f>A11+1</f>
        <v>2020</v>
      </c>
      <c r="B12" s="70">
        <f>B11</f>
        <v>2000</v>
      </c>
      <c r="C12" s="71">
        <f>C11+B12</f>
        <v>6000</v>
      </c>
      <c r="D12" s="71">
        <f t="shared" si="0"/>
        <v>4000</v>
      </c>
    </row>
    <row r="14" spans="1:4">
      <c r="A14" s="1" t="s">
        <v>9</v>
      </c>
    </row>
    <row r="15" spans="1:4">
      <c r="A15" s="59" t="s">
        <v>8</v>
      </c>
      <c r="B15" s="31">
        <f>D12</f>
        <v>4000</v>
      </c>
    </row>
    <row r="16" spans="1:4">
      <c r="A16" s="59" t="s">
        <v>10</v>
      </c>
      <c r="B16" s="31">
        <v>5000</v>
      </c>
    </row>
    <row r="17" spans="1:4">
      <c r="A17" s="59" t="s">
        <v>11</v>
      </c>
      <c r="B17" s="31">
        <f>B16-B15</f>
        <v>1000</v>
      </c>
    </row>
    <row r="19" spans="1:4">
      <c r="A19" s="67" t="s">
        <v>13</v>
      </c>
      <c r="B19" s="67" t="s">
        <v>12</v>
      </c>
      <c r="C19" s="68" t="s">
        <v>14</v>
      </c>
      <c r="D19" s="68" t="s">
        <v>15</v>
      </c>
    </row>
    <row r="20" spans="1:4">
      <c r="A20" s="72">
        <v>43101</v>
      </c>
      <c r="B20" s="59" t="s">
        <v>16</v>
      </c>
      <c r="C20" s="31">
        <v>10000</v>
      </c>
      <c r="D20" s="31"/>
    </row>
    <row r="21" spans="1:4">
      <c r="A21" s="59"/>
      <c r="B21" s="59" t="s">
        <v>17</v>
      </c>
      <c r="C21" s="31"/>
      <c r="D21" s="31">
        <f>C20</f>
        <v>10000</v>
      </c>
    </row>
    <row r="22" spans="1:4">
      <c r="A22" s="73" t="s">
        <v>18</v>
      </c>
      <c r="B22" s="73"/>
      <c r="C22" s="73"/>
      <c r="D22" s="73"/>
    </row>
    <row r="23" spans="1:4">
      <c r="A23" s="59"/>
      <c r="B23" s="59"/>
      <c r="C23" s="31"/>
      <c r="D23" s="31"/>
    </row>
    <row r="24" spans="1:4">
      <c r="A24" s="72">
        <v>43465</v>
      </c>
      <c r="B24" s="59" t="s">
        <v>19</v>
      </c>
      <c r="C24" s="31">
        <f>C10</f>
        <v>2000</v>
      </c>
      <c r="D24" s="31"/>
    </row>
    <row r="25" spans="1:4">
      <c r="A25" s="59"/>
      <c r="B25" s="59" t="s">
        <v>20</v>
      </c>
      <c r="C25" s="31"/>
      <c r="D25" s="31">
        <f>C24</f>
        <v>2000</v>
      </c>
    </row>
    <row r="26" spans="1:4">
      <c r="A26" s="73" t="s">
        <v>25</v>
      </c>
      <c r="B26" s="73"/>
      <c r="C26" s="73"/>
      <c r="D26" s="73"/>
    </row>
    <row r="27" spans="1:4">
      <c r="A27" s="59"/>
      <c r="B27" s="59"/>
      <c r="C27" s="31"/>
      <c r="D27" s="31"/>
    </row>
    <row r="28" spans="1:4">
      <c r="A28" s="72">
        <v>43830</v>
      </c>
      <c r="B28" s="59" t="s">
        <v>19</v>
      </c>
      <c r="C28" s="31">
        <f>B11</f>
        <v>2000</v>
      </c>
      <c r="D28" s="31"/>
    </row>
    <row r="29" spans="1:4">
      <c r="A29" s="59"/>
      <c r="B29" s="59" t="s">
        <v>20</v>
      </c>
      <c r="C29" s="31"/>
      <c r="D29" s="31">
        <f>C28</f>
        <v>2000</v>
      </c>
    </row>
    <row r="30" spans="1:4">
      <c r="A30" s="73" t="s">
        <v>25</v>
      </c>
      <c r="B30" s="73"/>
      <c r="C30" s="73"/>
      <c r="D30" s="73"/>
    </row>
    <row r="31" spans="1:4">
      <c r="A31" s="59"/>
      <c r="B31" s="59"/>
      <c r="C31" s="31"/>
      <c r="D31" s="31"/>
    </row>
    <row r="32" spans="1:4">
      <c r="A32" s="72">
        <v>44196</v>
      </c>
      <c r="B32" s="59" t="s">
        <v>19</v>
      </c>
      <c r="C32" s="31">
        <f>B12</f>
        <v>2000</v>
      </c>
      <c r="D32" s="31"/>
    </row>
    <row r="33" spans="1:4">
      <c r="A33" s="59"/>
      <c r="B33" s="59" t="s">
        <v>20</v>
      </c>
      <c r="C33" s="31"/>
      <c r="D33" s="31">
        <f>C32</f>
        <v>2000</v>
      </c>
    </row>
    <row r="34" spans="1:4">
      <c r="A34" s="73" t="s">
        <v>24</v>
      </c>
      <c r="B34" s="73"/>
      <c r="C34" s="73"/>
      <c r="D34" s="73"/>
    </row>
    <row r="35" spans="1:4">
      <c r="A35" s="59"/>
      <c r="B35" s="59"/>
      <c r="C35" s="31"/>
      <c r="D35" s="31"/>
    </row>
    <row r="36" spans="1:4">
      <c r="A36" s="72">
        <v>44197</v>
      </c>
      <c r="B36" s="59" t="s">
        <v>21</v>
      </c>
      <c r="C36" s="31">
        <v>5000</v>
      </c>
      <c r="D36" s="31"/>
    </row>
    <row r="37" spans="1:4">
      <c r="A37" s="59"/>
      <c r="B37" s="59" t="s">
        <v>16</v>
      </c>
      <c r="C37" s="31"/>
      <c r="D37" s="31">
        <f>D12</f>
        <v>4000</v>
      </c>
    </row>
    <row r="38" spans="1:4">
      <c r="A38" s="59"/>
      <c r="B38" s="59" t="s">
        <v>22</v>
      </c>
      <c r="C38" s="31"/>
      <c r="D38" s="31">
        <f>C36-D37</f>
        <v>1000</v>
      </c>
    </row>
    <row r="39" spans="1:4">
      <c r="A39" s="73" t="s">
        <v>23</v>
      </c>
      <c r="B39" s="73"/>
      <c r="C39" s="73"/>
      <c r="D39" s="73"/>
    </row>
    <row r="42" spans="1:4">
      <c r="A42" s="1" t="s">
        <v>26</v>
      </c>
    </row>
    <row r="43" spans="1:4" ht="25.5">
      <c r="A43" s="67" t="s">
        <v>6</v>
      </c>
      <c r="B43" s="67" t="s">
        <v>5</v>
      </c>
      <c r="C43" s="68" t="s">
        <v>7</v>
      </c>
      <c r="D43" s="68" t="s">
        <v>8</v>
      </c>
    </row>
    <row r="44" spans="1:4">
      <c r="A44" s="69">
        <v>2018</v>
      </c>
      <c r="B44" s="70">
        <f>B5*0.4</f>
        <v>4000</v>
      </c>
      <c r="C44" s="71">
        <f>B44</f>
        <v>4000</v>
      </c>
      <c r="D44" s="71">
        <f>$B$5-C44</f>
        <v>6000</v>
      </c>
    </row>
    <row r="45" spans="1:4">
      <c r="A45" s="69">
        <f>A44+1</f>
        <v>2019</v>
      </c>
      <c r="B45" s="70">
        <f>D44*0.4</f>
        <v>2400</v>
      </c>
      <c r="C45" s="71">
        <f>C44+B45</f>
        <v>6400</v>
      </c>
      <c r="D45" s="71">
        <f t="shared" ref="D45:D46" si="1">$B$5-C45</f>
        <v>3600</v>
      </c>
    </row>
    <row r="46" spans="1:4">
      <c r="A46" s="69">
        <f>A45+1</f>
        <v>2020</v>
      </c>
      <c r="B46" s="70">
        <f>D45*0.4</f>
        <v>1440</v>
      </c>
      <c r="C46" s="71">
        <f>C45+B46</f>
        <v>7840</v>
      </c>
      <c r="D46" s="71">
        <f t="shared" si="1"/>
        <v>2160</v>
      </c>
    </row>
    <row r="48" spans="1:4">
      <c r="A48" s="1" t="s">
        <v>9</v>
      </c>
    </row>
    <row r="49" spans="1:4">
      <c r="A49" s="59" t="s">
        <v>8</v>
      </c>
      <c r="B49" s="31">
        <f>D46</f>
        <v>2160</v>
      </c>
    </row>
    <row r="50" spans="1:4">
      <c r="A50" s="59" t="s">
        <v>10</v>
      </c>
      <c r="B50" s="31">
        <v>5000</v>
      </c>
    </row>
    <row r="51" spans="1:4">
      <c r="A51" s="59" t="s">
        <v>11</v>
      </c>
      <c r="B51" s="31">
        <f>B50-B49</f>
        <v>2840</v>
      </c>
    </row>
    <row r="53" spans="1:4">
      <c r="A53" s="67" t="s">
        <v>13</v>
      </c>
      <c r="B53" s="67" t="s">
        <v>12</v>
      </c>
      <c r="C53" s="68" t="s">
        <v>14</v>
      </c>
      <c r="D53" s="68" t="s">
        <v>15</v>
      </c>
    </row>
    <row r="54" spans="1:4">
      <c r="A54" s="72">
        <v>43101</v>
      </c>
      <c r="B54" s="59" t="s">
        <v>16</v>
      </c>
      <c r="C54" s="31">
        <v>10000</v>
      </c>
      <c r="D54" s="31"/>
    </row>
    <row r="55" spans="1:4">
      <c r="A55" s="59"/>
      <c r="B55" s="59" t="s">
        <v>17</v>
      </c>
      <c r="C55" s="31"/>
      <c r="D55" s="31">
        <f>C54</f>
        <v>10000</v>
      </c>
    </row>
    <row r="56" spans="1:4">
      <c r="A56" s="73" t="s">
        <v>18</v>
      </c>
      <c r="B56" s="73"/>
      <c r="C56" s="73"/>
      <c r="D56" s="73"/>
    </row>
    <row r="57" spans="1:4">
      <c r="A57" s="59"/>
      <c r="B57" s="59"/>
      <c r="C57" s="31"/>
      <c r="D57" s="31"/>
    </row>
    <row r="58" spans="1:4">
      <c r="A58" s="72">
        <v>43465</v>
      </c>
      <c r="B58" s="59" t="s">
        <v>19</v>
      </c>
      <c r="C58" s="31">
        <f>C44</f>
        <v>4000</v>
      </c>
      <c r="D58" s="31"/>
    </row>
    <row r="59" spans="1:4">
      <c r="A59" s="59"/>
      <c r="B59" s="59" t="s">
        <v>20</v>
      </c>
      <c r="C59" s="31"/>
      <c r="D59" s="31">
        <f>C58</f>
        <v>4000</v>
      </c>
    </row>
    <row r="60" spans="1:4">
      <c r="A60" s="73" t="s">
        <v>25</v>
      </c>
      <c r="B60" s="73"/>
      <c r="C60" s="73"/>
      <c r="D60" s="73"/>
    </row>
    <row r="61" spans="1:4">
      <c r="A61" s="59"/>
      <c r="B61" s="59"/>
      <c r="C61" s="31"/>
      <c r="D61" s="31"/>
    </row>
    <row r="62" spans="1:4">
      <c r="A62" s="72">
        <v>43830</v>
      </c>
      <c r="B62" s="59" t="s">
        <v>19</v>
      </c>
      <c r="C62" s="31">
        <f>B45</f>
        <v>2400</v>
      </c>
      <c r="D62" s="31"/>
    </row>
    <row r="63" spans="1:4">
      <c r="A63" s="59"/>
      <c r="B63" s="59" t="s">
        <v>20</v>
      </c>
      <c r="C63" s="31"/>
      <c r="D63" s="31">
        <f>C62</f>
        <v>2400</v>
      </c>
    </row>
    <row r="64" spans="1:4">
      <c r="A64" s="73" t="s">
        <v>25</v>
      </c>
      <c r="B64" s="73"/>
      <c r="C64" s="73"/>
      <c r="D64" s="73"/>
    </row>
    <row r="65" spans="1:4">
      <c r="A65" s="59"/>
      <c r="B65" s="59"/>
      <c r="C65" s="31"/>
      <c r="D65" s="31"/>
    </row>
    <row r="66" spans="1:4">
      <c r="A66" s="72">
        <v>44196</v>
      </c>
      <c r="B66" s="59" t="s">
        <v>19</v>
      </c>
      <c r="C66" s="31">
        <f>B46</f>
        <v>1440</v>
      </c>
      <c r="D66" s="31"/>
    </row>
    <row r="67" spans="1:4">
      <c r="A67" s="59"/>
      <c r="B67" s="59" t="s">
        <v>20</v>
      </c>
      <c r="C67" s="31"/>
      <c r="D67" s="31">
        <f>C66</f>
        <v>1440</v>
      </c>
    </row>
    <row r="68" spans="1:4">
      <c r="A68" s="73" t="s">
        <v>24</v>
      </c>
      <c r="B68" s="73"/>
      <c r="C68" s="73"/>
      <c r="D68" s="73"/>
    </row>
    <row r="69" spans="1:4">
      <c r="A69" s="59"/>
      <c r="B69" s="59"/>
      <c r="C69" s="31"/>
      <c r="D69" s="31"/>
    </row>
    <row r="70" spans="1:4">
      <c r="A70" s="72">
        <v>44197</v>
      </c>
      <c r="B70" s="59" t="s">
        <v>21</v>
      </c>
      <c r="C70" s="31">
        <v>5000</v>
      </c>
      <c r="D70" s="31"/>
    </row>
    <row r="71" spans="1:4">
      <c r="A71" s="59"/>
      <c r="B71" s="59" t="s">
        <v>16</v>
      </c>
      <c r="C71" s="31"/>
      <c r="D71" s="31">
        <f>D46</f>
        <v>2160</v>
      </c>
    </row>
    <row r="72" spans="1:4">
      <c r="A72" s="59"/>
      <c r="B72" s="59" t="s">
        <v>22</v>
      </c>
      <c r="C72" s="31"/>
      <c r="D72" s="31">
        <f>C70-D71</f>
        <v>2840</v>
      </c>
    </row>
    <row r="73" spans="1:4">
      <c r="A73" s="73" t="s">
        <v>23</v>
      </c>
      <c r="B73" s="73"/>
      <c r="C73" s="73"/>
      <c r="D73" s="73"/>
    </row>
  </sheetData>
  <mergeCells count="10">
    <mergeCell ref="A73:D73"/>
    <mergeCell ref="A22:D22"/>
    <mergeCell ref="A26:D26"/>
    <mergeCell ref="A30:D30"/>
    <mergeCell ref="A34:D34"/>
    <mergeCell ref="A39:D39"/>
    <mergeCell ref="A56:D56"/>
    <mergeCell ref="A60:D60"/>
    <mergeCell ref="A64:D64"/>
    <mergeCell ref="A68:D6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G32"/>
  <sheetViews>
    <sheetView showGridLines="0" workbookViewId="0">
      <selection activeCell="A26" sqref="A26:D32"/>
    </sheetView>
  </sheetViews>
  <sheetFormatPr defaultRowHeight="12.75"/>
  <cols>
    <col min="1" max="1" width="32.5703125" style="2" bestFit="1" customWidth="1"/>
    <col min="2" max="3" width="11.28515625" style="2" customWidth="1"/>
    <col min="4" max="4" width="38.140625" style="2" bestFit="1" customWidth="1"/>
    <col min="5" max="16384" width="9.140625" style="2"/>
  </cols>
  <sheetData>
    <row r="2" spans="1:6">
      <c r="A2" s="1" t="s">
        <v>27</v>
      </c>
    </row>
    <row r="3" spans="1:6">
      <c r="A3" s="1" t="s">
        <v>1</v>
      </c>
    </row>
    <row r="4" spans="1:6">
      <c r="A4" s="62" t="s">
        <v>41</v>
      </c>
      <c r="B4" s="62" t="s">
        <v>38</v>
      </c>
      <c r="C4" s="62" t="s">
        <v>39</v>
      </c>
      <c r="D4" s="62" t="s">
        <v>40</v>
      </c>
    </row>
    <row r="5" spans="1:6">
      <c r="A5" s="59" t="s">
        <v>28</v>
      </c>
      <c r="B5" s="63">
        <f>B16/B15</f>
        <v>0.25</v>
      </c>
      <c r="C5" s="63">
        <f>C16/C15</f>
        <v>0.25</v>
      </c>
      <c r="D5" s="30" t="s">
        <v>35</v>
      </c>
      <c r="F5" s="6"/>
    </row>
    <row r="6" spans="1:6">
      <c r="A6" s="59" t="s">
        <v>29</v>
      </c>
      <c r="B6" s="63">
        <f>B17/B15</f>
        <v>5.6250000000000001E-2</v>
      </c>
      <c r="C6" s="63">
        <f>C17/C15</f>
        <v>7.4999999999999997E-2</v>
      </c>
      <c r="D6" s="30" t="s">
        <v>36</v>
      </c>
    </row>
    <row r="7" spans="1:6">
      <c r="A7" s="59" t="s">
        <v>30</v>
      </c>
      <c r="B7" s="60">
        <f>(B19/B18)*365</f>
        <v>91.25</v>
      </c>
      <c r="C7" s="60">
        <f>(C19/C18)*365</f>
        <v>101.3888888888889</v>
      </c>
      <c r="D7" s="30" t="s">
        <v>37</v>
      </c>
    </row>
    <row r="8" spans="1:6">
      <c r="A8" s="59" t="s">
        <v>31</v>
      </c>
      <c r="B8" s="60">
        <f>(B20/B15)*365</f>
        <v>13.6875</v>
      </c>
      <c r="C8" s="60">
        <f>(C20/C15)*365</f>
        <v>30.416666666666664</v>
      </c>
      <c r="D8" s="30" t="s">
        <v>48</v>
      </c>
    </row>
    <row r="9" spans="1:6">
      <c r="A9" s="59" t="s">
        <v>33</v>
      </c>
      <c r="B9" s="31">
        <f>(B21/B18)*365</f>
        <v>30.416666666666664</v>
      </c>
      <c r="C9" s="31">
        <f>(C21/C18)*365</f>
        <v>40.55555555555555</v>
      </c>
      <c r="D9" s="30" t="s">
        <v>48</v>
      </c>
    </row>
    <row r="10" spans="1:6">
      <c r="A10" s="59" t="s">
        <v>32</v>
      </c>
      <c r="B10" s="64">
        <f>B22/B23</f>
        <v>4</v>
      </c>
      <c r="C10" s="64">
        <f>C22/C23</f>
        <v>4</v>
      </c>
      <c r="D10" s="30" t="s">
        <v>50</v>
      </c>
    </row>
    <row r="11" spans="1:6">
      <c r="A11" s="59" t="s">
        <v>34</v>
      </c>
      <c r="B11" s="64">
        <f>(B22-B19)/B23</f>
        <v>1</v>
      </c>
      <c r="C11" s="64">
        <f>(C22-C19)/C23</f>
        <v>1.5</v>
      </c>
      <c r="D11" s="30" t="s">
        <v>51</v>
      </c>
    </row>
    <row r="13" spans="1:6">
      <c r="A13" s="1" t="s">
        <v>54</v>
      </c>
    </row>
    <row r="14" spans="1:6">
      <c r="A14" s="58"/>
      <c r="B14" s="58" t="s">
        <v>38</v>
      </c>
      <c r="C14" s="58" t="s">
        <v>39</v>
      </c>
    </row>
    <row r="15" spans="1:6">
      <c r="A15" s="59" t="s">
        <v>43</v>
      </c>
      <c r="B15" s="60">
        <v>160000</v>
      </c>
      <c r="C15" s="60">
        <v>240000</v>
      </c>
    </row>
    <row r="16" spans="1:6">
      <c r="A16" s="59" t="s">
        <v>45</v>
      </c>
      <c r="B16" s="60">
        <v>40000</v>
      </c>
      <c r="C16" s="60">
        <v>60000</v>
      </c>
    </row>
    <row r="17" spans="1:7">
      <c r="A17" s="59" t="s">
        <v>44</v>
      </c>
      <c r="B17" s="60">
        <v>9000</v>
      </c>
      <c r="C17" s="60">
        <v>18000</v>
      </c>
    </row>
    <row r="18" spans="1:7">
      <c r="A18" s="59" t="s">
        <v>46</v>
      </c>
      <c r="B18" s="60">
        <v>120000</v>
      </c>
      <c r="C18" s="60">
        <v>180000</v>
      </c>
    </row>
    <row r="19" spans="1:7">
      <c r="A19" s="59" t="s">
        <v>47</v>
      </c>
      <c r="B19" s="60">
        <v>30000</v>
      </c>
      <c r="C19" s="60">
        <v>50000</v>
      </c>
    </row>
    <row r="20" spans="1:7">
      <c r="A20" s="59" t="s">
        <v>42</v>
      </c>
      <c r="B20" s="60">
        <v>6000</v>
      </c>
      <c r="C20" s="60">
        <v>20000</v>
      </c>
    </row>
    <row r="21" spans="1:7">
      <c r="A21" s="59" t="s">
        <v>49</v>
      </c>
      <c r="B21" s="60">
        <v>10000</v>
      </c>
      <c r="C21" s="60">
        <v>20000</v>
      </c>
      <c r="G21" s="6"/>
    </row>
    <row r="22" spans="1:7">
      <c r="A22" s="59" t="s">
        <v>52</v>
      </c>
      <c r="B22" s="60">
        <v>40000</v>
      </c>
      <c r="C22" s="60">
        <v>80000</v>
      </c>
    </row>
    <row r="23" spans="1:7">
      <c r="A23" s="59" t="s">
        <v>53</v>
      </c>
      <c r="B23" s="60">
        <v>10000</v>
      </c>
      <c r="C23" s="60">
        <v>20000</v>
      </c>
    </row>
    <row r="25" spans="1:7">
      <c r="A25" s="1" t="s">
        <v>26</v>
      </c>
    </row>
    <row r="26" spans="1:7" ht="32.25" customHeight="1">
      <c r="A26" s="65" t="s">
        <v>28</v>
      </c>
      <c r="B26" s="66" t="s">
        <v>55</v>
      </c>
      <c r="C26" s="66"/>
      <c r="D26" s="66"/>
    </row>
    <row r="27" spans="1:7" ht="32.25" customHeight="1">
      <c r="A27" s="65" t="s">
        <v>29</v>
      </c>
      <c r="B27" s="66" t="s">
        <v>56</v>
      </c>
      <c r="C27" s="66"/>
      <c r="D27" s="66"/>
    </row>
    <row r="28" spans="1:7" ht="32.25" customHeight="1">
      <c r="A28" s="65" t="s">
        <v>30</v>
      </c>
      <c r="B28" s="66" t="s">
        <v>57</v>
      </c>
      <c r="C28" s="66"/>
      <c r="D28" s="66"/>
    </row>
    <row r="29" spans="1:7" ht="32.25" customHeight="1">
      <c r="A29" s="65" t="s">
        <v>31</v>
      </c>
      <c r="B29" s="66" t="s">
        <v>58</v>
      </c>
      <c r="C29" s="66"/>
      <c r="D29" s="66"/>
    </row>
    <row r="30" spans="1:7" ht="32.25" customHeight="1">
      <c r="A30" s="65" t="s">
        <v>33</v>
      </c>
      <c r="B30" s="66" t="s">
        <v>59</v>
      </c>
      <c r="C30" s="66"/>
      <c r="D30" s="66"/>
    </row>
    <row r="31" spans="1:7" ht="32.25" customHeight="1">
      <c r="A31" s="65" t="s">
        <v>32</v>
      </c>
      <c r="B31" s="66" t="s">
        <v>60</v>
      </c>
      <c r="C31" s="66"/>
      <c r="D31" s="66"/>
    </row>
    <row r="32" spans="1:7" ht="32.25" customHeight="1">
      <c r="A32" s="65" t="s">
        <v>34</v>
      </c>
      <c r="B32" s="66" t="s">
        <v>61</v>
      </c>
      <c r="C32" s="66"/>
      <c r="D32" s="66"/>
    </row>
  </sheetData>
  <mergeCells count="7">
    <mergeCell ref="B32:D32"/>
    <mergeCell ref="B26:D26"/>
    <mergeCell ref="B27:D27"/>
    <mergeCell ref="B28:D28"/>
    <mergeCell ref="B29:D29"/>
    <mergeCell ref="B30:D30"/>
    <mergeCell ref="B31:D3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2:J35"/>
  <sheetViews>
    <sheetView showGridLines="0" workbookViewId="0">
      <selection activeCell="A13" sqref="A13"/>
    </sheetView>
  </sheetViews>
  <sheetFormatPr defaultRowHeight="12.75"/>
  <cols>
    <col min="1" max="1" width="25.140625" style="2" customWidth="1"/>
    <col min="2" max="2" width="11" style="2" bestFit="1" customWidth="1"/>
    <col min="3" max="3" width="9.28515625" style="2" bestFit="1" customWidth="1"/>
    <col min="4" max="7" width="9.140625" style="2"/>
    <col min="8" max="8" width="11" style="2" bestFit="1" customWidth="1"/>
    <col min="9" max="16384" width="9.140625" style="2"/>
  </cols>
  <sheetData>
    <row r="2" spans="1:10">
      <c r="A2" s="1" t="s">
        <v>62</v>
      </c>
    </row>
    <row r="3" spans="1:10">
      <c r="A3" s="1"/>
    </row>
    <row r="4" spans="1:10">
      <c r="A4" s="1" t="s">
        <v>1</v>
      </c>
    </row>
    <row r="5" spans="1:10">
      <c r="A5" s="2" t="s">
        <v>65</v>
      </c>
      <c r="B5" s="2">
        <v>100</v>
      </c>
    </row>
    <row r="6" spans="1:10">
      <c r="A6" s="58"/>
      <c r="B6" s="58" t="s">
        <v>66</v>
      </c>
      <c r="C6" s="58" t="s">
        <v>67</v>
      </c>
    </row>
    <row r="7" spans="1:10">
      <c r="A7" s="59" t="s">
        <v>63</v>
      </c>
      <c r="B7" s="31">
        <v>820000</v>
      </c>
      <c r="C7" s="31">
        <f>B7/$B$5</f>
        <v>8200</v>
      </c>
    </row>
    <row r="8" spans="1:10">
      <c r="A8" s="59" t="s">
        <v>64</v>
      </c>
      <c r="B8" s="31">
        <v>250000</v>
      </c>
      <c r="C8" s="31">
        <f>B8/$B$5</f>
        <v>2500</v>
      </c>
    </row>
    <row r="9" spans="1:10">
      <c r="A9" s="59" t="s">
        <v>68</v>
      </c>
      <c r="B9" s="31">
        <v>342000</v>
      </c>
      <c r="C9" s="31" t="s">
        <v>69</v>
      </c>
    </row>
    <row r="11" spans="1:10">
      <c r="A11" s="74" t="s">
        <v>82</v>
      </c>
      <c r="B11" s="74"/>
      <c r="C11" s="75">
        <f>C7-C8</f>
        <v>5700</v>
      </c>
      <c r="G11" s="4"/>
      <c r="H11" s="4"/>
      <c r="I11" s="4"/>
      <c r="J11" s="4"/>
    </row>
    <row r="13" spans="1:10">
      <c r="A13" s="2" t="s">
        <v>70</v>
      </c>
    </row>
    <row r="15" spans="1:10">
      <c r="A15" s="59" t="s">
        <v>68</v>
      </c>
      <c r="B15" s="76">
        <f>B9</f>
        <v>342000</v>
      </c>
    </row>
    <row r="16" spans="1:10">
      <c r="A16" s="59" t="s">
        <v>71</v>
      </c>
      <c r="B16" s="76">
        <f>300000</f>
        <v>300000</v>
      </c>
    </row>
    <row r="17" spans="1:2">
      <c r="A17" s="59" t="s">
        <v>72</v>
      </c>
      <c r="B17" s="76">
        <f>C11</f>
        <v>5700</v>
      </c>
    </row>
    <row r="18" spans="1:2">
      <c r="A18" s="74" t="s">
        <v>65</v>
      </c>
      <c r="B18" s="75">
        <f>(B15+B16)/B17</f>
        <v>112.63157894736842</v>
      </c>
    </row>
    <row r="19" spans="1:2">
      <c r="A19" s="7" t="s">
        <v>73</v>
      </c>
    </row>
    <row r="20" spans="1:2">
      <c r="A20" s="1" t="s">
        <v>26</v>
      </c>
    </row>
    <row r="21" spans="1:2">
      <c r="A21" s="74" t="s">
        <v>78</v>
      </c>
      <c r="B21" s="31">
        <v>2000</v>
      </c>
    </row>
    <row r="22" spans="1:2">
      <c r="A22" s="74"/>
      <c r="B22" s="77" t="s">
        <v>79</v>
      </c>
    </row>
    <row r="23" spans="1:2">
      <c r="A23" s="59" t="s">
        <v>68</v>
      </c>
      <c r="B23" s="31">
        <v>6000</v>
      </c>
    </row>
    <row r="24" spans="1:2">
      <c r="A24" s="59" t="s">
        <v>64</v>
      </c>
      <c r="B24" s="31">
        <v>4000</v>
      </c>
    </row>
    <row r="25" spans="1:2">
      <c r="A25" s="59" t="s">
        <v>76</v>
      </c>
      <c r="B25" s="31">
        <f>SUM(B23:B24)</f>
        <v>10000</v>
      </c>
    </row>
    <row r="26" spans="1:2">
      <c r="A26" s="59" t="s">
        <v>77</v>
      </c>
      <c r="B26" s="31">
        <f>B25</f>
        <v>10000</v>
      </c>
    </row>
    <row r="27" spans="1:2">
      <c r="B27" s="5"/>
    </row>
    <row r="28" spans="1:2">
      <c r="A28" s="59" t="s">
        <v>80</v>
      </c>
      <c r="B28" s="78">
        <f>B26/$B$21</f>
        <v>5</v>
      </c>
    </row>
    <row r="29" spans="1:2">
      <c r="A29" s="59" t="s">
        <v>81</v>
      </c>
      <c r="B29" s="78">
        <f>B24/B21</f>
        <v>2</v>
      </c>
    </row>
    <row r="30" spans="1:2">
      <c r="A30" s="74" t="s">
        <v>82</v>
      </c>
      <c r="B30" s="79">
        <f>B28-B29</f>
        <v>3</v>
      </c>
    </row>
    <row r="31" spans="1:2">
      <c r="A31" s="1"/>
    </row>
    <row r="32" spans="1:2">
      <c r="A32" s="1"/>
    </row>
    <row r="33" spans="1:6">
      <c r="A33" s="1" t="s">
        <v>74</v>
      </c>
    </row>
    <row r="34" spans="1:6">
      <c r="A34" s="80" t="s">
        <v>75</v>
      </c>
      <c r="B34" s="81"/>
      <c r="C34" s="81"/>
      <c r="D34" s="81"/>
      <c r="E34" s="81"/>
      <c r="F34" s="81"/>
    </row>
    <row r="35" spans="1:6">
      <c r="A35" s="81"/>
      <c r="B35" s="81"/>
      <c r="C35" s="81"/>
      <c r="D35" s="81"/>
      <c r="E35" s="81"/>
      <c r="F35" s="81"/>
    </row>
  </sheetData>
  <mergeCells count="1">
    <mergeCell ref="A34:F3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2:H44"/>
  <sheetViews>
    <sheetView showGridLines="0" topLeftCell="A25" workbookViewId="0">
      <selection activeCell="A17" sqref="A17:B17"/>
    </sheetView>
  </sheetViews>
  <sheetFormatPr defaultRowHeight="12.75"/>
  <cols>
    <col min="1" max="1" width="26" style="2" bestFit="1" customWidth="1"/>
    <col min="2" max="2" width="14.140625" style="2" bestFit="1" customWidth="1"/>
    <col min="3" max="3" width="17.42578125" style="2" bestFit="1" customWidth="1"/>
    <col min="4" max="4" width="16.5703125" style="2" bestFit="1" customWidth="1"/>
    <col min="5" max="5" width="16.7109375" style="2" customWidth="1"/>
    <col min="6" max="8" width="14.42578125" style="2" customWidth="1"/>
    <col min="9" max="16384" width="9.140625" style="2"/>
  </cols>
  <sheetData>
    <row r="2" spans="1:3">
      <c r="A2" s="1" t="s">
        <v>132</v>
      </c>
    </row>
    <row r="3" spans="1:3">
      <c r="A3" s="58"/>
      <c r="B3" s="58" t="s">
        <v>129</v>
      </c>
      <c r="C3" s="58" t="s">
        <v>130</v>
      </c>
    </row>
    <row r="4" spans="1:3">
      <c r="A4" s="59" t="s">
        <v>131</v>
      </c>
      <c r="B4" s="60">
        <v>50000</v>
      </c>
      <c r="C4" s="59">
        <v>16320</v>
      </c>
    </row>
    <row r="5" spans="1:3">
      <c r="A5" s="59" t="s">
        <v>127</v>
      </c>
      <c r="B5" s="60">
        <v>30000</v>
      </c>
      <c r="C5" s="59">
        <v>1110</v>
      </c>
    </row>
    <row r="6" spans="1:3">
      <c r="A6" s="59" t="s">
        <v>128</v>
      </c>
      <c r="B6" s="60">
        <v>10000</v>
      </c>
      <c r="C6" s="59">
        <v>-590</v>
      </c>
    </row>
    <row r="8" spans="1:3">
      <c r="A8" s="59" t="s">
        <v>133</v>
      </c>
      <c r="B8" s="61">
        <v>81961</v>
      </c>
    </row>
    <row r="10" spans="1:3">
      <c r="A10" s="58"/>
      <c r="B10" s="58" t="s">
        <v>143</v>
      </c>
    </row>
    <row r="11" spans="1:3">
      <c r="A11" s="59" t="s">
        <v>131</v>
      </c>
      <c r="B11" s="60">
        <v>30000</v>
      </c>
    </row>
    <row r="12" spans="1:3">
      <c r="A12" s="59" t="s">
        <v>127</v>
      </c>
      <c r="B12" s="60">
        <v>20000</v>
      </c>
    </row>
    <row r="13" spans="1:3">
      <c r="A13" s="59" t="s">
        <v>128</v>
      </c>
      <c r="B13" s="60">
        <v>3000</v>
      </c>
    </row>
    <row r="15" spans="1:3">
      <c r="A15" s="1" t="s">
        <v>137</v>
      </c>
    </row>
    <row r="16" spans="1:3">
      <c r="A16" s="59" t="s">
        <v>128</v>
      </c>
      <c r="B16" s="60">
        <v>12000</v>
      </c>
    </row>
    <row r="17" spans="1:7">
      <c r="A17" s="59" t="s">
        <v>127</v>
      </c>
      <c r="B17" s="60">
        <v>6000</v>
      </c>
    </row>
    <row r="19" spans="1:7">
      <c r="A19" s="1" t="s">
        <v>139</v>
      </c>
    </row>
    <row r="20" spans="1:7" ht="13.5" thickBot="1">
      <c r="A20" s="1" t="s">
        <v>1</v>
      </c>
    </row>
    <row r="21" spans="1:7">
      <c r="A21" s="10" t="s">
        <v>121</v>
      </c>
      <c r="B21" s="10" t="s">
        <v>122</v>
      </c>
      <c r="C21" s="10" t="s">
        <v>123</v>
      </c>
      <c r="D21" s="10" t="s">
        <v>122</v>
      </c>
    </row>
    <row r="22" spans="1:7">
      <c r="A22" s="11"/>
      <c r="B22" s="11"/>
      <c r="C22" s="12" t="s">
        <v>44</v>
      </c>
      <c r="D22" s="13">
        <f>B8</f>
        <v>81961</v>
      </c>
    </row>
    <row r="23" spans="1:7">
      <c r="A23" s="12" t="s">
        <v>124</v>
      </c>
      <c r="B23" s="11"/>
      <c r="C23" s="12" t="s">
        <v>125</v>
      </c>
      <c r="D23" s="11"/>
    </row>
    <row r="24" spans="1:7">
      <c r="A24" s="14" t="s">
        <v>134</v>
      </c>
      <c r="B24" s="14">
        <f>B4*5%</f>
        <v>2500</v>
      </c>
      <c r="C24" s="14" t="s">
        <v>134</v>
      </c>
      <c r="D24" s="14">
        <f>B11*7%</f>
        <v>2100</v>
      </c>
    </row>
    <row r="25" spans="1:7">
      <c r="A25" s="14" t="s">
        <v>135</v>
      </c>
      <c r="B25" s="14">
        <f>B5*5%</f>
        <v>1500</v>
      </c>
      <c r="C25" s="14" t="s">
        <v>135</v>
      </c>
      <c r="D25" s="14">
        <f>B12*7%</f>
        <v>1400.0000000000002</v>
      </c>
    </row>
    <row r="26" spans="1:7">
      <c r="A26" s="14" t="s">
        <v>136</v>
      </c>
      <c r="B26" s="14">
        <f>B6*5%</f>
        <v>500</v>
      </c>
      <c r="C26" s="14" t="s">
        <v>136</v>
      </c>
      <c r="D26" s="14">
        <f>B13*7%</f>
        <v>210.00000000000003</v>
      </c>
    </row>
    <row r="27" spans="1:7">
      <c r="A27" s="12" t="s">
        <v>126</v>
      </c>
      <c r="B27" s="11"/>
      <c r="C27" s="11"/>
      <c r="D27" s="11"/>
    </row>
    <row r="28" spans="1:7">
      <c r="A28" s="14" t="s">
        <v>127</v>
      </c>
      <c r="B28" s="13">
        <f>B17</f>
        <v>6000</v>
      </c>
      <c r="C28" s="11"/>
      <c r="D28" s="11"/>
    </row>
    <row r="29" spans="1:7">
      <c r="A29" s="14" t="s">
        <v>128</v>
      </c>
      <c r="B29" s="13">
        <f>B16</f>
        <v>12000</v>
      </c>
      <c r="C29" s="11"/>
      <c r="D29" s="11"/>
    </row>
    <row r="30" spans="1:7">
      <c r="A30" s="12" t="s">
        <v>138</v>
      </c>
      <c r="B30" s="15">
        <f>D34-SUM(B24:B29)</f>
        <v>63171</v>
      </c>
      <c r="C30" s="11"/>
      <c r="D30" s="11"/>
      <c r="G30" s="6"/>
    </row>
    <row r="31" spans="1:7">
      <c r="A31" s="14" t="s">
        <v>134</v>
      </c>
      <c r="B31" s="16">
        <f>$B$30*(5/10)</f>
        <v>31585.5</v>
      </c>
      <c r="C31" s="11"/>
      <c r="D31" s="11"/>
    </row>
    <row r="32" spans="1:7">
      <c r="A32" s="14" t="s">
        <v>135</v>
      </c>
      <c r="B32" s="16">
        <f>$B$30*(4/10)</f>
        <v>25268.400000000001</v>
      </c>
      <c r="C32" s="11"/>
      <c r="D32" s="11"/>
    </row>
    <row r="33" spans="1:8">
      <c r="A33" s="14" t="s">
        <v>136</v>
      </c>
      <c r="B33" s="16">
        <f>$B$30*(1/10)</f>
        <v>6317.1</v>
      </c>
      <c r="C33" s="11"/>
      <c r="D33" s="11"/>
    </row>
    <row r="34" spans="1:8" ht="13.5" thickBot="1">
      <c r="A34" s="17"/>
      <c r="B34" s="18">
        <f>SUM(B22:B29,B31:B33)</f>
        <v>85671</v>
      </c>
      <c r="C34" s="17"/>
      <c r="D34" s="18">
        <f>SUM(D22:D33)</f>
        <v>85671</v>
      </c>
    </row>
    <row r="36" spans="1:8">
      <c r="D36" s="6"/>
    </row>
    <row r="37" spans="1:8" ht="13.5" thickBot="1">
      <c r="A37" s="1" t="s">
        <v>26</v>
      </c>
    </row>
    <row r="38" spans="1:8">
      <c r="A38" s="26"/>
      <c r="B38" s="19" t="s">
        <v>141</v>
      </c>
      <c r="C38" s="19"/>
      <c r="D38" s="19"/>
      <c r="E38" s="19"/>
      <c r="F38" s="19"/>
      <c r="G38" s="19"/>
      <c r="H38" s="19"/>
    </row>
    <row r="39" spans="1:8">
      <c r="A39" s="27"/>
      <c r="B39" s="21" t="s">
        <v>131</v>
      </c>
      <c r="C39" s="21" t="s">
        <v>127</v>
      </c>
      <c r="D39" s="21" t="s">
        <v>128</v>
      </c>
      <c r="E39" s="21"/>
      <c r="F39" s="21" t="s">
        <v>131</v>
      </c>
      <c r="G39" s="21" t="s">
        <v>127</v>
      </c>
      <c r="H39" s="21" t="s">
        <v>128</v>
      </c>
    </row>
    <row r="40" spans="1:8">
      <c r="A40" s="20" t="s">
        <v>140</v>
      </c>
      <c r="B40" s="20"/>
      <c r="C40" s="20"/>
      <c r="D40" s="22">
        <f>-C6</f>
        <v>590</v>
      </c>
      <c r="E40" s="20" t="s">
        <v>140</v>
      </c>
      <c r="F40" s="20">
        <f>C4</f>
        <v>16320</v>
      </c>
      <c r="G40" s="20">
        <f>C5</f>
        <v>1110</v>
      </c>
      <c r="H40" s="20"/>
    </row>
    <row r="41" spans="1:8">
      <c r="A41" s="20" t="s">
        <v>142</v>
      </c>
      <c r="B41" s="22">
        <f>B11</f>
        <v>30000</v>
      </c>
      <c r="C41" s="22">
        <f>B12</f>
        <v>20000</v>
      </c>
      <c r="D41" s="22">
        <f>B13</f>
        <v>3000</v>
      </c>
      <c r="E41" s="20" t="s">
        <v>144</v>
      </c>
      <c r="F41" s="20">
        <f>B24</f>
        <v>2500</v>
      </c>
      <c r="G41" s="20">
        <f>B25</f>
        <v>1500</v>
      </c>
      <c r="H41" s="20">
        <f>B26</f>
        <v>500</v>
      </c>
    </row>
    <row r="42" spans="1:8">
      <c r="A42" s="20" t="s">
        <v>145</v>
      </c>
      <c r="B42" s="20">
        <f>D24</f>
        <v>2100</v>
      </c>
      <c r="C42" s="20">
        <f>D25</f>
        <v>1400.0000000000002</v>
      </c>
      <c r="D42" s="20">
        <f>D26</f>
        <v>210.00000000000003</v>
      </c>
      <c r="E42" s="20" t="s">
        <v>137</v>
      </c>
      <c r="F42" s="20"/>
      <c r="G42" s="22">
        <f>B28</f>
        <v>6000</v>
      </c>
      <c r="H42" s="22">
        <f>B29</f>
        <v>12000</v>
      </c>
    </row>
    <row r="43" spans="1:8">
      <c r="A43" s="20" t="s">
        <v>147</v>
      </c>
      <c r="B43" s="23">
        <f>F44-SUM(B41:B42)</f>
        <v>18305.5</v>
      </c>
      <c r="C43" s="23">
        <f>G44-SUM(C41:C42)</f>
        <v>12478.400000000001</v>
      </c>
      <c r="D43" s="23">
        <f>H44-SUM(D41:D42)</f>
        <v>15607.099999999999</v>
      </c>
      <c r="E43" s="20" t="s">
        <v>146</v>
      </c>
      <c r="F43" s="24">
        <f>B31</f>
        <v>31585.5</v>
      </c>
      <c r="G43" s="24">
        <f>B32</f>
        <v>25268.400000000001</v>
      </c>
      <c r="H43" s="24">
        <f>B33</f>
        <v>6317.1</v>
      </c>
    </row>
    <row r="44" spans="1:8" ht="13.5" thickBot="1">
      <c r="A44" s="25"/>
      <c r="B44" s="25">
        <f>SUM(B40:B43)</f>
        <v>50405.5</v>
      </c>
      <c r="C44" s="25">
        <f t="shared" ref="C44:H44" si="0">SUM(C40:C43)</f>
        <v>33878.400000000001</v>
      </c>
      <c r="D44" s="25">
        <f t="shared" si="0"/>
        <v>19407.099999999999</v>
      </c>
      <c r="E44" s="25">
        <f t="shared" si="0"/>
        <v>0</v>
      </c>
      <c r="F44" s="25">
        <f t="shared" si="0"/>
        <v>50405.5</v>
      </c>
      <c r="G44" s="25">
        <f t="shared" si="0"/>
        <v>33878.400000000001</v>
      </c>
      <c r="H44" s="25">
        <f t="shared" si="0"/>
        <v>18817.099999999999</v>
      </c>
    </row>
  </sheetData>
  <mergeCells count="1">
    <mergeCell ref="B38:H38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2:F99"/>
  <sheetViews>
    <sheetView showGridLines="0" workbookViewId="0">
      <selection activeCell="A31" sqref="A31"/>
    </sheetView>
  </sheetViews>
  <sheetFormatPr defaultRowHeight="12.75"/>
  <cols>
    <col min="1" max="1" width="58.7109375" style="2" bestFit="1" customWidth="1"/>
    <col min="2" max="2" width="13.140625" style="2" bestFit="1" customWidth="1"/>
    <col min="3" max="3" width="11.5703125" style="2" bestFit="1" customWidth="1"/>
    <col min="4" max="4" width="9.140625" style="2"/>
    <col min="5" max="5" width="31.28515625" style="2" customWidth="1"/>
    <col min="6" max="6" width="12.140625" style="2" customWidth="1"/>
    <col min="7" max="16384" width="9.140625" style="2"/>
  </cols>
  <sheetData>
    <row r="2" spans="1:6" ht="13.5" thickBot="1">
      <c r="A2" s="1" t="s">
        <v>120</v>
      </c>
    </row>
    <row r="3" spans="1:6">
      <c r="A3" s="28"/>
      <c r="B3" s="29" t="s">
        <v>14</v>
      </c>
      <c r="C3" s="29" t="s">
        <v>15</v>
      </c>
      <c r="E3" s="34" t="s">
        <v>148</v>
      </c>
      <c r="F3" s="35"/>
    </row>
    <row r="4" spans="1:6">
      <c r="A4" s="30" t="s">
        <v>88</v>
      </c>
      <c r="B4" s="31">
        <v>60000</v>
      </c>
      <c r="C4" s="31"/>
      <c r="E4" s="36" t="s">
        <v>149</v>
      </c>
      <c r="F4" s="37">
        <f>C15</f>
        <v>303600</v>
      </c>
    </row>
    <row r="5" spans="1:6">
      <c r="A5" s="30" t="s">
        <v>83</v>
      </c>
      <c r="B5" s="31"/>
      <c r="C5" s="31">
        <v>10000</v>
      </c>
      <c r="E5" s="36" t="s">
        <v>150</v>
      </c>
      <c r="F5" s="37">
        <f>B19</f>
        <v>2100</v>
      </c>
    </row>
    <row r="6" spans="1:6">
      <c r="A6" s="30" t="s">
        <v>89</v>
      </c>
      <c r="B6" s="31">
        <v>50000</v>
      </c>
      <c r="C6" s="31"/>
      <c r="E6" s="38" t="s">
        <v>151</v>
      </c>
      <c r="F6" s="39">
        <f>F4-F5</f>
        <v>301500</v>
      </c>
    </row>
    <row r="7" spans="1:6">
      <c r="A7" s="30" t="s">
        <v>84</v>
      </c>
      <c r="B7" s="31"/>
      <c r="C7" s="31">
        <v>8000</v>
      </c>
      <c r="E7" s="36"/>
      <c r="F7" s="40"/>
    </row>
    <row r="8" spans="1:6">
      <c r="A8" s="30" t="s">
        <v>85</v>
      </c>
      <c r="B8" s="31">
        <v>25000</v>
      </c>
      <c r="C8" s="31"/>
      <c r="E8" s="36" t="s">
        <v>153</v>
      </c>
      <c r="F8" s="41">
        <f>B24</f>
        <v>4500</v>
      </c>
    </row>
    <row r="9" spans="1:6">
      <c r="A9" s="30" t="s">
        <v>86</v>
      </c>
      <c r="B9" s="31"/>
      <c r="C9" s="31">
        <v>5000</v>
      </c>
      <c r="E9" s="36" t="s">
        <v>107</v>
      </c>
      <c r="F9" s="41">
        <f>B15</f>
        <v>190000</v>
      </c>
    </row>
    <row r="10" spans="1:6">
      <c r="A10" s="30" t="s">
        <v>87</v>
      </c>
      <c r="B10" s="31"/>
      <c r="C10" s="31">
        <v>30000</v>
      </c>
      <c r="E10" s="36" t="s">
        <v>154</v>
      </c>
      <c r="F10" s="41">
        <f>C19</f>
        <v>1950</v>
      </c>
    </row>
    <row r="11" spans="1:6">
      <c r="A11" s="30" t="s">
        <v>90</v>
      </c>
      <c r="B11" s="31"/>
      <c r="C11" s="31">
        <v>50000</v>
      </c>
      <c r="E11" s="36" t="s">
        <v>108</v>
      </c>
      <c r="F11" s="41">
        <v>13000</v>
      </c>
    </row>
    <row r="12" spans="1:6">
      <c r="A12" s="30" t="s">
        <v>91</v>
      </c>
      <c r="B12" s="31"/>
      <c r="C12" s="31">
        <v>30000</v>
      </c>
      <c r="E12" s="38" t="s">
        <v>152</v>
      </c>
      <c r="F12" s="42">
        <f>F8+F9-F11-F10</f>
        <v>179550</v>
      </c>
    </row>
    <row r="13" spans="1:6">
      <c r="A13" s="30" t="s">
        <v>92</v>
      </c>
      <c r="B13" s="31">
        <v>38000</v>
      </c>
      <c r="C13" s="31">
        <v>21000</v>
      </c>
      <c r="E13" s="36"/>
      <c r="F13" s="40"/>
    </row>
    <row r="14" spans="1:6">
      <c r="A14" s="30" t="s">
        <v>93</v>
      </c>
      <c r="B14" s="31"/>
      <c r="C14" s="31">
        <v>400</v>
      </c>
      <c r="E14" s="36" t="s">
        <v>155</v>
      </c>
      <c r="F14" s="41">
        <f>B16</f>
        <v>24000</v>
      </c>
    </row>
    <row r="15" spans="1:6">
      <c r="A15" s="30" t="s">
        <v>94</v>
      </c>
      <c r="B15" s="31">
        <v>190000</v>
      </c>
      <c r="C15" s="31">
        <v>303600</v>
      </c>
      <c r="E15" s="36" t="s">
        <v>156</v>
      </c>
      <c r="F15" s="41">
        <v>400</v>
      </c>
    </row>
    <row r="16" spans="1:6">
      <c r="A16" s="30" t="s">
        <v>95</v>
      </c>
      <c r="B16" s="31">
        <v>24000</v>
      </c>
      <c r="C16" s="31"/>
      <c r="E16" s="38" t="s">
        <v>157</v>
      </c>
      <c r="F16" s="42">
        <f>SUM(F14:F15)</f>
        <v>24400</v>
      </c>
    </row>
    <row r="17" spans="1:6">
      <c r="A17" s="30" t="s">
        <v>96</v>
      </c>
      <c r="B17" s="31">
        <v>34500</v>
      </c>
      <c r="C17" s="31"/>
      <c r="E17" s="36"/>
      <c r="F17" s="40"/>
    </row>
    <row r="18" spans="1:6">
      <c r="A18" s="30" t="s">
        <v>97</v>
      </c>
      <c r="B18" s="31">
        <v>600</v>
      </c>
      <c r="C18" s="31"/>
      <c r="E18" s="36" t="s">
        <v>158</v>
      </c>
      <c r="F18" s="41">
        <f>B18</f>
        <v>600</v>
      </c>
    </row>
    <row r="19" spans="1:6">
      <c r="A19" s="30" t="s">
        <v>98</v>
      </c>
      <c r="B19" s="31">
        <v>2100</v>
      </c>
      <c r="C19" s="31">
        <v>1950</v>
      </c>
      <c r="E19" s="36" t="s">
        <v>159</v>
      </c>
      <c r="F19" s="41">
        <v>500</v>
      </c>
    </row>
    <row r="20" spans="1:6">
      <c r="A20" s="30" t="s">
        <v>99</v>
      </c>
      <c r="B20" s="31">
        <v>1600</v>
      </c>
      <c r="C20" s="31">
        <v>1850</v>
      </c>
      <c r="E20" s="38" t="s">
        <v>160</v>
      </c>
      <c r="F20" s="42">
        <f>SUM(F18:F19)</f>
        <v>1100</v>
      </c>
    </row>
    <row r="21" spans="1:6">
      <c r="A21" s="30" t="s">
        <v>100</v>
      </c>
      <c r="B21" s="31">
        <v>1500</v>
      </c>
      <c r="C21" s="31"/>
      <c r="E21" s="36"/>
      <c r="F21" s="40"/>
    </row>
    <row r="22" spans="1:6">
      <c r="A22" s="30" t="s">
        <v>101</v>
      </c>
      <c r="B22" s="31">
        <v>4000</v>
      </c>
      <c r="C22" s="31"/>
      <c r="E22" s="36" t="str">
        <f>A23</f>
        <v>Rent, rates and insurance</v>
      </c>
      <c r="F22" s="40">
        <f>B23</f>
        <v>16000</v>
      </c>
    </row>
    <row r="23" spans="1:6">
      <c r="A23" s="30" t="s">
        <v>102</v>
      </c>
      <c r="B23" s="31">
        <v>16000</v>
      </c>
      <c r="C23" s="31"/>
      <c r="E23" s="36" t="s">
        <v>161</v>
      </c>
      <c r="F23" s="40">
        <v>400</v>
      </c>
    </row>
    <row r="24" spans="1:6">
      <c r="A24" s="30" t="s">
        <v>103</v>
      </c>
      <c r="B24" s="31">
        <v>4500</v>
      </c>
      <c r="C24" s="31"/>
      <c r="E24" s="36" t="s">
        <v>113</v>
      </c>
      <c r="F24" s="40">
        <v>-1500</v>
      </c>
    </row>
    <row r="25" spans="1:6">
      <c r="A25" s="30" t="s">
        <v>104</v>
      </c>
      <c r="B25" s="31">
        <v>10000</v>
      </c>
      <c r="C25" s="31"/>
      <c r="E25" s="38" t="s">
        <v>162</v>
      </c>
      <c r="F25" s="40">
        <f>SUM(F22:F24)</f>
        <v>14900</v>
      </c>
    </row>
    <row r="26" spans="1:6">
      <c r="A26" s="32" t="s">
        <v>66</v>
      </c>
      <c r="B26" s="33">
        <f>SUM(B4:B25)</f>
        <v>461800</v>
      </c>
      <c r="C26" s="33">
        <f>SUM(C4:C25)</f>
        <v>461800</v>
      </c>
      <c r="E26" s="36"/>
      <c r="F26" s="40"/>
    </row>
    <row r="27" spans="1:6">
      <c r="E27" s="36" t="s">
        <v>163</v>
      </c>
      <c r="F27" s="37">
        <f>B21</f>
        <v>1500</v>
      </c>
    </row>
    <row r="28" spans="1:6">
      <c r="E28" s="38" t="s">
        <v>165</v>
      </c>
      <c r="F28" s="39">
        <f>C10*10%</f>
        <v>3000</v>
      </c>
    </row>
    <row r="29" spans="1:6">
      <c r="E29" s="38" t="s">
        <v>164</v>
      </c>
      <c r="F29" s="39">
        <f>F28-F27</f>
        <v>1500</v>
      </c>
    </row>
    <row r="30" spans="1:6">
      <c r="E30" s="36"/>
      <c r="F30" s="40"/>
    </row>
    <row r="31" spans="1:6">
      <c r="E31" s="36" t="s">
        <v>168</v>
      </c>
      <c r="F31" s="41">
        <f>(B13-F19)*4%</f>
        <v>1500</v>
      </c>
    </row>
    <row r="32" spans="1:6">
      <c r="E32" s="36" t="s">
        <v>167</v>
      </c>
      <c r="F32" s="41">
        <v>400</v>
      </c>
    </row>
    <row r="33" spans="1:6">
      <c r="E33" s="38" t="s">
        <v>166</v>
      </c>
      <c r="F33" s="42">
        <f>F31-F32</f>
        <v>1100</v>
      </c>
    </row>
    <row r="34" spans="1:6">
      <c r="A34" s="1" t="s">
        <v>139</v>
      </c>
      <c r="E34" s="36"/>
      <c r="F34" s="40"/>
    </row>
    <row r="35" spans="1:6" ht="13.5" thickBot="1">
      <c r="A35" s="1" t="s">
        <v>171</v>
      </c>
      <c r="E35" s="38" t="s">
        <v>5</v>
      </c>
      <c r="F35" s="40"/>
    </row>
    <row r="36" spans="1:6">
      <c r="A36" s="45"/>
      <c r="B36" s="46"/>
      <c r="C36" s="35"/>
      <c r="E36" s="36" t="s">
        <v>16</v>
      </c>
      <c r="F36" s="37">
        <f>(B4-C5)*15%</f>
        <v>7500</v>
      </c>
    </row>
    <row r="37" spans="1:6">
      <c r="A37" s="36" t="s">
        <v>172</v>
      </c>
      <c r="B37" s="47"/>
      <c r="C37" s="37">
        <f>F6</f>
        <v>301500</v>
      </c>
      <c r="E37" s="36" t="s">
        <v>169</v>
      </c>
      <c r="F37" s="37">
        <f>B6*15%</f>
        <v>7500</v>
      </c>
    </row>
    <row r="38" spans="1:6">
      <c r="A38" s="36" t="s">
        <v>173</v>
      </c>
      <c r="B38" s="47"/>
      <c r="C38" s="37">
        <f>-F12</f>
        <v>-179550</v>
      </c>
      <c r="E38" s="36" t="s">
        <v>170</v>
      </c>
      <c r="F38" s="37">
        <f>B8*15%</f>
        <v>3750</v>
      </c>
    </row>
    <row r="39" spans="1:6" ht="13.5" thickBot="1">
      <c r="A39" s="36" t="s">
        <v>109</v>
      </c>
      <c r="B39" s="47"/>
      <c r="C39" s="48">
        <f>SUM(C37:C38)</f>
        <v>121950</v>
      </c>
      <c r="E39" s="43" t="s">
        <v>66</v>
      </c>
      <c r="F39" s="44">
        <f>SUM(F36:F38)</f>
        <v>18750</v>
      </c>
    </row>
    <row r="40" spans="1:6">
      <c r="A40" s="36"/>
      <c r="B40" s="47"/>
      <c r="C40" s="37"/>
    </row>
    <row r="41" spans="1:6">
      <c r="A41" s="49" t="s">
        <v>174</v>
      </c>
      <c r="B41" s="47"/>
      <c r="C41" s="37"/>
    </row>
    <row r="42" spans="1:6">
      <c r="A42" s="36" t="s">
        <v>95</v>
      </c>
      <c r="B42" s="8">
        <f>F16</f>
        <v>24400</v>
      </c>
      <c r="C42" s="40"/>
    </row>
    <row r="43" spans="1:6">
      <c r="A43" s="36" t="s">
        <v>97</v>
      </c>
      <c r="B43" s="8">
        <f>F20+F33</f>
        <v>2200</v>
      </c>
      <c r="C43" s="40"/>
    </row>
    <row r="44" spans="1:6">
      <c r="A44" s="36" t="s">
        <v>175</v>
      </c>
      <c r="B44" s="8">
        <f>B20</f>
        <v>1600</v>
      </c>
      <c r="C44" s="40"/>
    </row>
    <row r="45" spans="1:6">
      <c r="A45" s="36" t="s">
        <v>100</v>
      </c>
      <c r="B45" s="8">
        <f>F28</f>
        <v>3000</v>
      </c>
      <c r="C45" s="40"/>
    </row>
    <row r="46" spans="1:6">
      <c r="A46" s="36" t="s">
        <v>101</v>
      </c>
      <c r="B46" s="8">
        <f>B22</f>
        <v>4000</v>
      </c>
      <c r="C46" s="40"/>
    </row>
    <row r="47" spans="1:6">
      <c r="A47" s="36" t="s">
        <v>102</v>
      </c>
      <c r="B47" s="8">
        <f>F25</f>
        <v>14900</v>
      </c>
      <c r="C47" s="40"/>
    </row>
    <row r="48" spans="1:6">
      <c r="A48" s="36" t="s">
        <v>176</v>
      </c>
      <c r="B48" s="8">
        <f>F39</f>
        <v>18750</v>
      </c>
      <c r="C48" s="37">
        <f>SUM(B42:B48)</f>
        <v>68850</v>
      </c>
    </row>
    <row r="49" spans="1:3">
      <c r="A49" s="36"/>
      <c r="B49" s="47"/>
      <c r="C49" s="40"/>
    </row>
    <row r="50" spans="1:3">
      <c r="A50" s="49" t="s">
        <v>177</v>
      </c>
      <c r="B50" s="47"/>
      <c r="C50" s="40"/>
    </row>
    <row r="51" spans="1:3">
      <c r="A51" s="36" t="s">
        <v>178</v>
      </c>
      <c r="B51" s="9">
        <f>C20</f>
        <v>1850</v>
      </c>
      <c r="C51" s="37">
        <f>B51</f>
        <v>1850</v>
      </c>
    </row>
    <row r="52" spans="1:3" ht="13.5" thickBot="1">
      <c r="A52" s="36" t="s">
        <v>110</v>
      </c>
      <c r="B52" s="47"/>
      <c r="C52" s="48">
        <f>C39-C48+C51</f>
        <v>54950</v>
      </c>
    </row>
    <row r="53" spans="1:3">
      <c r="A53" s="36" t="s">
        <v>111</v>
      </c>
      <c r="B53" s="47"/>
      <c r="C53" s="50">
        <f>C52*0.3</f>
        <v>16485</v>
      </c>
    </row>
    <row r="54" spans="1:3" ht="13.5" thickBot="1">
      <c r="A54" s="36" t="s">
        <v>44</v>
      </c>
      <c r="B54" s="47"/>
      <c r="C54" s="48">
        <f>C52-C53</f>
        <v>38465</v>
      </c>
    </row>
    <row r="55" spans="1:3" ht="13.5" thickBot="1">
      <c r="A55" s="51"/>
      <c r="B55" s="52"/>
      <c r="C55" s="53"/>
    </row>
    <row r="56" spans="1:3" ht="13.5" thickBot="1"/>
    <row r="57" spans="1:3">
      <c r="A57" s="34" t="s">
        <v>179</v>
      </c>
      <c r="B57" s="35"/>
    </row>
    <row r="58" spans="1:3">
      <c r="A58" s="36" t="s">
        <v>180</v>
      </c>
      <c r="B58" s="41">
        <f>-B25</f>
        <v>-10000</v>
      </c>
    </row>
    <row r="59" spans="1:3">
      <c r="A59" s="36" t="s">
        <v>184</v>
      </c>
      <c r="B59" s="41">
        <f>C54</f>
        <v>38465</v>
      </c>
    </row>
    <row r="60" spans="1:3">
      <c r="A60" s="36" t="s">
        <v>181</v>
      </c>
      <c r="B60" s="41">
        <f>-C11*10%</f>
        <v>-5000</v>
      </c>
    </row>
    <row r="61" spans="1:3">
      <c r="A61" s="36" t="s">
        <v>182</v>
      </c>
      <c r="B61" s="41">
        <f>-30000*9%</f>
        <v>-2700</v>
      </c>
    </row>
    <row r="62" spans="1:3" ht="13.5" thickBot="1">
      <c r="A62" s="43" t="s">
        <v>183</v>
      </c>
      <c r="B62" s="54">
        <f>SUM(B58:B61)</f>
        <v>20765</v>
      </c>
    </row>
    <row r="65" spans="1:4" ht="13.5" thickBot="1">
      <c r="A65" s="1" t="s">
        <v>185</v>
      </c>
    </row>
    <row r="66" spans="1:4">
      <c r="A66" s="45"/>
      <c r="B66" s="46"/>
      <c r="C66" s="46"/>
      <c r="D66" s="35"/>
    </row>
    <row r="67" spans="1:4">
      <c r="A67" s="38" t="s">
        <v>186</v>
      </c>
      <c r="B67" s="47"/>
      <c r="C67" s="47"/>
      <c r="D67" s="40"/>
    </row>
    <row r="68" spans="1:4">
      <c r="A68" s="36" t="s">
        <v>16</v>
      </c>
      <c r="B68" s="9">
        <f>B4-C5-F36</f>
        <v>42500</v>
      </c>
      <c r="C68" s="47"/>
      <c r="D68" s="40"/>
    </row>
    <row r="69" spans="1:4">
      <c r="A69" s="36" t="s">
        <v>169</v>
      </c>
      <c r="B69" s="9">
        <f>B6-C7-F37</f>
        <v>34500</v>
      </c>
      <c r="C69" s="47"/>
      <c r="D69" s="40"/>
    </row>
    <row r="70" spans="1:4">
      <c r="A70" s="36" t="s">
        <v>170</v>
      </c>
      <c r="B70" s="9">
        <f>B8-C9-F38</f>
        <v>16250</v>
      </c>
      <c r="C70" s="9">
        <f>SUM(B68:B70)</f>
        <v>93250</v>
      </c>
      <c r="D70" s="40"/>
    </row>
    <row r="71" spans="1:4">
      <c r="A71" s="36"/>
      <c r="B71" s="47"/>
      <c r="C71" s="47"/>
      <c r="D71" s="40"/>
    </row>
    <row r="72" spans="1:4">
      <c r="A72" s="38" t="s">
        <v>52</v>
      </c>
      <c r="B72" s="47"/>
      <c r="C72" s="47"/>
      <c r="D72" s="40"/>
    </row>
    <row r="73" spans="1:4">
      <c r="A73" s="36" t="s">
        <v>187</v>
      </c>
      <c r="B73" s="9">
        <f>B17</f>
        <v>34500</v>
      </c>
      <c r="C73" s="47"/>
      <c r="D73" s="40"/>
    </row>
    <row r="74" spans="1:4">
      <c r="A74" s="36" t="s">
        <v>47</v>
      </c>
      <c r="B74" s="9">
        <f>F11</f>
        <v>13000</v>
      </c>
      <c r="C74" s="47"/>
      <c r="D74" s="40"/>
    </row>
    <row r="75" spans="1:4">
      <c r="A75" s="36" t="s">
        <v>188</v>
      </c>
      <c r="B75" s="9">
        <f>B13-F31-F19</f>
        <v>36000</v>
      </c>
      <c r="C75" s="47"/>
      <c r="D75" s="40"/>
    </row>
    <row r="76" spans="1:4">
      <c r="A76" s="36" t="s">
        <v>189</v>
      </c>
      <c r="B76" s="47">
        <f>-F24</f>
        <v>1500</v>
      </c>
      <c r="C76" s="9">
        <f>SUM(B73:B76)</f>
        <v>85000</v>
      </c>
      <c r="D76" s="40"/>
    </row>
    <row r="77" spans="1:4">
      <c r="A77" s="36"/>
      <c r="B77" s="47"/>
      <c r="C77" s="47"/>
      <c r="D77" s="40"/>
    </row>
    <row r="78" spans="1:4" ht="13.5" thickBot="1">
      <c r="A78" s="38" t="s">
        <v>112</v>
      </c>
      <c r="B78" s="56"/>
      <c r="C78" s="55">
        <f>SUM(C76,C70)</f>
        <v>178250</v>
      </c>
      <c r="D78" s="40"/>
    </row>
    <row r="79" spans="1:4">
      <c r="A79" s="36"/>
      <c r="B79" s="47"/>
      <c r="C79" s="47"/>
      <c r="D79" s="40"/>
    </row>
    <row r="80" spans="1:4">
      <c r="A80" s="38" t="s">
        <v>53</v>
      </c>
      <c r="B80" s="47"/>
      <c r="C80" s="47"/>
      <c r="D80" s="40"/>
    </row>
    <row r="81" spans="1:4">
      <c r="A81" s="36" t="s">
        <v>190</v>
      </c>
      <c r="B81" s="8">
        <f>F15</f>
        <v>400</v>
      </c>
      <c r="C81" s="47"/>
      <c r="D81" s="40"/>
    </row>
    <row r="82" spans="1:4">
      <c r="A82" s="36" t="s">
        <v>105</v>
      </c>
      <c r="B82" s="8">
        <f>F23</f>
        <v>400</v>
      </c>
      <c r="C82" s="47"/>
      <c r="D82" s="40"/>
    </row>
    <row r="83" spans="1:4">
      <c r="A83" s="36" t="s">
        <v>191</v>
      </c>
      <c r="B83" s="8">
        <f>C13</f>
        <v>21000</v>
      </c>
      <c r="C83" s="9"/>
      <c r="D83" s="40"/>
    </row>
    <row r="84" spans="1:4">
      <c r="A84" s="36" t="s">
        <v>119</v>
      </c>
      <c r="B84" s="9">
        <f>-SUM(B60:B61)</f>
        <v>7700</v>
      </c>
      <c r="C84" s="47"/>
      <c r="D84" s="40"/>
    </row>
    <row r="85" spans="1:4">
      <c r="A85" s="36" t="s">
        <v>106</v>
      </c>
      <c r="B85" s="9">
        <f>F29</f>
        <v>1500</v>
      </c>
      <c r="C85" s="47"/>
      <c r="D85" s="40"/>
    </row>
    <row r="86" spans="1:4">
      <c r="A86" s="36" t="s">
        <v>192</v>
      </c>
      <c r="B86" s="57">
        <f>C53</f>
        <v>16485</v>
      </c>
      <c r="C86" s="9">
        <f>SUM(B81:B86)</f>
        <v>47485</v>
      </c>
      <c r="D86" s="40"/>
    </row>
    <row r="87" spans="1:4">
      <c r="A87" s="36"/>
      <c r="B87" s="47"/>
      <c r="C87" s="47"/>
      <c r="D87" s="40"/>
    </row>
    <row r="88" spans="1:4">
      <c r="A88" s="38" t="s">
        <v>114</v>
      </c>
      <c r="B88" s="47"/>
      <c r="C88" s="47"/>
      <c r="D88" s="40"/>
    </row>
    <row r="89" spans="1:4">
      <c r="A89" s="36" t="s">
        <v>193</v>
      </c>
      <c r="B89" s="9">
        <f>C10</f>
        <v>30000</v>
      </c>
      <c r="C89" s="9">
        <f>B89</f>
        <v>30000</v>
      </c>
      <c r="D89" s="40"/>
    </row>
    <row r="90" spans="1:4">
      <c r="A90" s="36"/>
      <c r="B90" s="47"/>
      <c r="C90" s="47"/>
      <c r="D90" s="40"/>
    </row>
    <row r="91" spans="1:4" ht="13.5" thickBot="1">
      <c r="A91" s="38" t="s">
        <v>115</v>
      </c>
      <c r="B91" s="56"/>
      <c r="C91" s="55">
        <f>C89+C86</f>
        <v>77485</v>
      </c>
      <c r="D91" s="40"/>
    </row>
    <row r="92" spans="1:4">
      <c r="A92" s="36"/>
      <c r="B92" s="47"/>
      <c r="C92" s="47"/>
      <c r="D92" s="40"/>
    </row>
    <row r="93" spans="1:4">
      <c r="A93" s="38" t="s">
        <v>116</v>
      </c>
      <c r="B93" s="47"/>
      <c r="C93" s="47"/>
      <c r="D93" s="40"/>
    </row>
    <row r="94" spans="1:4">
      <c r="A94" s="36" t="s">
        <v>117</v>
      </c>
      <c r="B94" s="9">
        <f>C11</f>
        <v>50000</v>
      </c>
      <c r="C94" s="47"/>
      <c r="D94" s="40"/>
    </row>
    <row r="95" spans="1:4">
      <c r="A95" s="36" t="s">
        <v>194</v>
      </c>
      <c r="B95" s="9">
        <f>C12</f>
        <v>30000</v>
      </c>
      <c r="C95" s="47"/>
      <c r="D95" s="40"/>
    </row>
    <row r="96" spans="1:4">
      <c r="A96" s="36" t="s">
        <v>195</v>
      </c>
      <c r="B96" s="9">
        <f>B62</f>
        <v>20765</v>
      </c>
      <c r="C96" s="9">
        <f>SUM(B94:B96)</f>
        <v>100765</v>
      </c>
      <c r="D96" s="40"/>
    </row>
    <row r="97" spans="1:4">
      <c r="A97" s="36"/>
      <c r="B97" s="47"/>
      <c r="C97" s="47"/>
      <c r="D97" s="40"/>
    </row>
    <row r="98" spans="1:4" ht="13.5" thickBot="1">
      <c r="A98" s="38" t="s">
        <v>118</v>
      </c>
      <c r="B98" s="56"/>
      <c r="C98" s="55">
        <f>SUM(C96,C91)</f>
        <v>178250</v>
      </c>
      <c r="D98" s="40"/>
    </row>
    <row r="99" spans="1:4" ht="13.5" thickBot="1">
      <c r="A99" s="51"/>
      <c r="B99" s="52"/>
      <c r="C99" s="52"/>
      <c r="D99" s="5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Q1</vt:lpstr>
      <vt:lpstr>Q2</vt:lpstr>
      <vt:lpstr>Q3</vt:lpstr>
      <vt:lpstr>Q4</vt:lpstr>
      <vt:lpstr>Q5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2021-11-23T10:35:32Z</dcterms:modified>
</cp:coreProperties>
</file>