
<file path=[Content_Types].xml><?xml version="1.0" encoding="utf-8"?>
<Types xmlns="http://schemas.openxmlformats.org/package/2006/content-type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filterPrivacy="1" showInkAnnotation="0"/>
  <bookViews>
    <workbookView xWindow="0" yWindow="0" windowWidth="20490" windowHeight="7755" firstSheet="9" activeTab="13"/>
  </bookViews>
  <sheets>
    <sheet name="Current Cost" sheetId="2" r:id="rId1"/>
    <sheet name="Scenario A (Y1)" sheetId="11" r:id="rId2"/>
    <sheet name="Scenario A (Y2)" sheetId="18" r:id="rId3"/>
    <sheet name="Scenario A (Y3)" sheetId="19" r:id="rId4"/>
    <sheet name="Recommendation Scenario A" sheetId="20" r:id="rId5"/>
    <sheet name="Scenario B (Y1)" sheetId="21" r:id="rId6"/>
    <sheet name="Scenario B (Y2)" sheetId="22" r:id="rId7"/>
    <sheet name="Scenario B (Y3)" sheetId="23" r:id="rId8"/>
    <sheet name="Recommendation Scenario B" sheetId="24" r:id="rId9"/>
    <sheet name="Scenario C (Y1)" sheetId="25" r:id="rId10"/>
    <sheet name="Scenario C (Y2)" sheetId="26" r:id="rId11"/>
    <sheet name="Scenario C (Y3)" sheetId="27" r:id="rId12"/>
    <sheet name="Recommendation Scenario C" sheetId="28" r:id="rId13"/>
    <sheet name="Action Plan" sheetId="29" r:id="rId14"/>
  </sheets>
  <definedNames>
    <definedName name="solver_adj" localSheetId="1" hidden="1">'Scenario A (Y1)'!$B$29:$H$32,'Scenario A (Y1)'!$B$39:$H$42</definedName>
    <definedName name="solver_adj" localSheetId="2" hidden="1">'Scenario A (Y2)'!$B$29:$H$32,'Scenario A (Y2)'!$B$39:$H$42</definedName>
    <definedName name="solver_adj" localSheetId="3" hidden="1">'Scenario A (Y3)'!$B$29:$G$32,'Scenario A (Y3)'!$B$39:$G$42</definedName>
    <definedName name="solver_adj" localSheetId="5" hidden="1">'Scenario B (Y1)'!$B$29:$G$32,'Scenario B (Y1)'!$B$39:$G$42</definedName>
    <definedName name="solver_adj" localSheetId="6" hidden="1">'Scenario B (Y2)'!$B$29:$G$32,'Scenario B (Y2)'!$B$39:$G$42</definedName>
    <definedName name="solver_adj" localSheetId="7" hidden="1">'Scenario B (Y3)'!$B$29:$G$32,'Scenario B (Y3)'!$B$39:$G$41</definedName>
    <definedName name="solver_adj" localSheetId="10" hidden="1">'Scenario C (Y2)'!$B$40:$G$41</definedName>
    <definedName name="solver_adj" localSheetId="11" hidden="1">'Scenario C (Y3)'!$B$40:$H$41</definedName>
    <definedName name="solver_cvg" localSheetId="1" hidden="1">0.0001</definedName>
    <definedName name="solver_cvg" localSheetId="2" hidden="1">0.0001</definedName>
    <definedName name="solver_cvg" localSheetId="3" hidden="1">0.0001</definedName>
    <definedName name="solver_cvg" localSheetId="5" hidden="1">0.0001</definedName>
    <definedName name="solver_cvg" localSheetId="6" hidden="1">0.0001</definedName>
    <definedName name="solver_cvg" localSheetId="7" hidden="1">0.0001</definedName>
    <definedName name="solver_cvg" localSheetId="9" hidden="1">0.0001</definedName>
    <definedName name="solver_cvg" localSheetId="10" hidden="1">0.0001</definedName>
    <definedName name="solver_cvg" localSheetId="11" hidden="1">0.0001</definedName>
    <definedName name="solver_drv" localSheetId="1" hidden="1">1</definedName>
    <definedName name="solver_drv" localSheetId="2" hidden="1">1</definedName>
    <definedName name="solver_drv" localSheetId="3" hidden="1">1</definedName>
    <definedName name="solver_drv" localSheetId="5" hidden="1">1</definedName>
    <definedName name="solver_drv" localSheetId="6" hidden="1">1</definedName>
    <definedName name="solver_drv" localSheetId="7" hidden="1">1</definedName>
    <definedName name="solver_drv" localSheetId="9" hidden="1">1</definedName>
    <definedName name="solver_drv" localSheetId="10" hidden="1">1</definedName>
    <definedName name="solver_drv" localSheetId="11" hidden="1">1</definedName>
    <definedName name="solver_est" localSheetId="1" hidden="1">1</definedName>
    <definedName name="solver_est" localSheetId="2" hidden="1">1</definedName>
    <definedName name="solver_est" localSheetId="3" hidden="1">1</definedName>
    <definedName name="solver_est" localSheetId="5" hidden="1">1</definedName>
    <definedName name="solver_est" localSheetId="6" hidden="1">1</definedName>
    <definedName name="solver_est" localSheetId="7" hidden="1">1</definedName>
    <definedName name="solver_est" localSheetId="9" hidden="1">1</definedName>
    <definedName name="solver_est" localSheetId="10" hidden="1">1</definedName>
    <definedName name="solver_est" localSheetId="11" hidden="1">1</definedName>
    <definedName name="solver_itr" localSheetId="1" hidden="1">100</definedName>
    <definedName name="solver_itr" localSheetId="2" hidden="1">100</definedName>
    <definedName name="solver_itr" localSheetId="3" hidden="1">100</definedName>
    <definedName name="solver_itr" localSheetId="5" hidden="1">100</definedName>
    <definedName name="solver_itr" localSheetId="6" hidden="1">100</definedName>
    <definedName name="solver_itr" localSheetId="7" hidden="1">100</definedName>
    <definedName name="solver_itr" localSheetId="9" hidden="1">100</definedName>
    <definedName name="solver_itr" localSheetId="10" hidden="1">100</definedName>
    <definedName name="solver_itr" localSheetId="11" hidden="1">100</definedName>
    <definedName name="solver_lhs1" localSheetId="1" hidden="1">'Scenario A (Y1)'!$J$29</definedName>
    <definedName name="solver_lhs1" localSheetId="2" hidden="1">'Scenario A (Y2)'!$J$29</definedName>
    <definedName name="solver_lhs1" localSheetId="3" hidden="1">'Scenario A (Y3)'!$J$29</definedName>
    <definedName name="solver_lhs1" localSheetId="5" hidden="1">'Scenario B (Y1)'!$B$29:$G$32</definedName>
    <definedName name="solver_lhs1" localSheetId="6" hidden="1">'Scenario B (Y2)'!$J$29:$J$32</definedName>
    <definedName name="solver_lhs1" localSheetId="7" hidden="1">'Scenario B (Y3)'!$B$29:$G$32</definedName>
    <definedName name="solver_lhs1" localSheetId="9" hidden="1">'Scenario C (Y1)'!$B$44:$G$44</definedName>
    <definedName name="solver_lhs1" localSheetId="10" hidden="1">'Scenario C (Y2)'!$B$44:$G$44</definedName>
    <definedName name="solver_lhs1" localSheetId="11" hidden="1">'Scenario C (Y3)'!$B$44:$G$44</definedName>
    <definedName name="solver_lhs10" localSheetId="1" hidden="1">'Scenario A (Y1)'!$D$44</definedName>
    <definedName name="solver_lhs10" localSheetId="2" hidden="1">'Scenario A (Y2)'!$J$40</definedName>
    <definedName name="solver_lhs10" localSheetId="3" hidden="1">'Scenario A (Y3)'!$J$41</definedName>
    <definedName name="solver_lhs10" localSheetId="6" hidden="1">'Scenario B (Y2)'!$J$40</definedName>
    <definedName name="solver_lhs11" localSheetId="1" hidden="1">'Scenario A (Y1)'!$E$44</definedName>
    <definedName name="solver_lhs11" localSheetId="2" hidden="1">'Scenario A (Y2)'!$J$41</definedName>
    <definedName name="solver_lhs11" localSheetId="6" hidden="1">'Scenario B (Y2)'!$J$41</definedName>
    <definedName name="solver_lhs12" localSheetId="1" hidden="1">'Scenario A (Y1)'!$F$44</definedName>
    <definedName name="solver_lhs12" localSheetId="6" hidden="1">'Scenario B (Y2)'!$J$31</definedName>
    <definedName name="solver_lhs13" localSheetId="1" hidden="1">'Scenario A (Y1)'!$G$44</definedName>
    <definedName name="solver_lhs14" localSheetId="1" hidden="1">'Scenario A (Y1)'!$B$29:$H$32</definedName>
    <definedName name="solver_lhs15" localSheetId="1" hidden="1">'Scenario A (Y1)'!$B$39:$H$42</definedName>
    <definedName name="solver_lhs16" localSheetId="1" hidden="1">'Scenario A (Y1)'!$J$39</definedName>
    <definedName name="solver_lhs17" localSheetId="1" hidden="1">'Scenario A (Y1)'!$D$43</definedName>
    <definedName name="solver_lhs18" localSheetId="1" hidden="1">'Scenario A (Y1)'!$E$43</definedName>
    <definedName name="solver_lhs19" localSheetId="1" hidden="1">'Scenario A (Y1)'!$F$43</definedName>
    <definedName name="solver_lhs2" localSheetId="1" hidden="1">'Scenario A (Y1)'!$B$34</definedName>
    <definedName name="solver_lhs2" localSheetId="2" hidden="1">'Scenario A (Y2)'!$J$39</definedName>
    <definedName name="solver_lhs2" localSheetId="3" hidden="1">'Scenario A (Y3)'!$J$39</definedName>
    <definedName name="solver_lhs2" localSheetId="5" hidden="1">'Scenario B (Y1)'!$B$39:$G$42</definedName>
    <definedName name="solver_lhs2" localSheetId="6" hidden="1">'Scenario B (Y2)'!$J$39:$J$42</definedName>
    <definedName name="solver_lhs2" localSheetId="7" hidden="1">'Scenario B (Y3)'!$B$39:$G$42</definedName>
    <definedName name="solver_lhs2" localSheetId="9" hidden="1">'Scenario C (Y1)'!$J$39</definedName>
    <definedName name="solver_lhs2" localSheetId="10" hidden="1">'Scenario C (Y2)'!$J$39</definedName>
    <definedName name="solver_lhs2" localSheetId="11" hidden="1">'Scenario C (Y3)'!$J$39</definedName>
    <definedName name="solver_lhs20" localSheetId="1" hidden="1">'Scenario A (Y1)'!$G$43</definedName>
    <definedName name="solver_lhs21" localSheetId="1" hidden="1">'Scenario A (Y1)'!$B$29:$H$32</definedName>
    <definedName name="solver_lhs22" localSheetId="1" hidden="1">'Scenario A (Y1)'!$I$39</definedName>
    <definedName name="solver_lhs23" localSheetId="1" hidden="1">'Scenario A (Y1)'!$B$29:$H$32</definedName>
    <definedName name="solver_lhs24" localSheetId="1" hidden="1">'Scenario A (Y1)'!$B$39:$H$42</definedName>
    <definedName name="solver_lhs25" localSheetId="1" hidden="1">'Scenario A (Y1)'!$I$29</definedName>
    <definedName name="solver_lhs26" localSheetId="1" hidden="1">'Scenario A (Y1)'!$I$39</definedName>
    <definedName name="solver_lhs3" localSheetId="1" hidden="1">'Scenario A (Y1)'!$C$34</definedName>
    <definedName name="solver_lhs3" localSheetId="2" hidden="1">'Scenario A (Y2)'!$B$34:$G$34</definedName>
    <definedName name="solver_lhs3" localSheetId="3" hidden="1">'Scenario A (Y3)'!$B$34:$G$34</definedName>
    <definedName name="solver_lhs3" localSheetId="5" hidden="1">'Scenario B (Y1)'!$J$29:$J$32</definedName>
    <definedName name="solver_lhs3" localSheetId="6" hidden="1">'Scenario B (Y2)'!$B$29:$G$32</definedName>
    <definedName name="solver_lhs3" localSheetId="7" hidden="1">'Scenario B (Y3)'!$B$34:$G$34</definedName>
    <definedName name="solver_lhs3" localSheetId="9" hidden="1">'Scenario C (Y1)'!$J$42</definedName>
    <definedName name="solver_lhs3" localSheetId="10" hidden="1">'Scenario C (Y2)'!$J$42</definedName>
    <definedName name="solver_lhs3" localSheetId="11" hidden="1">'Scenario C (Y3)'!$J$42</definedName>
    <definedName name="solver_lhs4" localSheetId="1" hidden="1">'Scenario A (Y1)'!$D$34</definedName>
    <definedName name="solver_lhs4" localSheetId="2" hidden="1">'Scenario A (Y2)'!$B$44:$G$44</definedName>
    <definedName name="solver_lhs4" localSheetId="3" hidden="1">'Scenario A (Y3)'!$B$44:$G$44</definedName>
    <definedName name="solver_lhs4" localSheetId="5" hidden="1">'Scenario B (Y1)'!$J$39:$J$42</definedName>
    <definedName name="solver_lhs4" localSheetId="6" hidden="1">'Scenario B (Y2)'!$B$39:$G$42</definedName>
    <definedName name="solver_lhs4" localSheetId="7" hidden="1">'Scenario B (Y3)'!$B$44:$G$44</definedName>
    <definedName name="solver_lhs4" localSheetId="9" hidden="1">'Scenario C (Y1)'!$B$39:$G$42</definedName>
    <definedName name="solver_lhs4" localSheetId="10" hidden="1">'Scenario C (Y2)'!$J$31</definedName>
    <definedName name="solver_lhs4" localSheetId="11" hidden="1">'Scenario C (Y3)'!$B$39:$G$42</definedName>
    <definedName name="solver_lhs5" localSheetId="1" hidden="1">'Scenario A (Y1)'!$E$34</definedName>
    <definedName name="solver_lhs5" localSheetId="2" hidden="1">'Scenario A (Y2)'!$B$29:$G$32</definedName>
    <definedName name="solver_lhs5" localSheetId="3" hidden="1">'Scenario A (Y3)'!$B$29:$G$32</definedName>
    <definedName name="solver_lhs5" localSheetId="5" hidden="1">'Scenario B (Y1)'!$B$34:$G$34</definedName>
    <definedName name="solver_lhs5" localSheetId="6" hidden="1">'Scenario B (Y2)'!$B$34:$G$34</definedName>
    <definedName name="solver_lhs5" localSheetId="7" hidden="1">'Scenario B (Y3)'!$J$30</definedName>
    <definedName name="solver_lhs5" localSheetId="9" hidden="1">'Scenario C (Y1)'!$J$42</definedName>
    <definedName name="solver_lhs6" localSheetId="1" hidden="1">'Scenario A (Y1)'!$G$34</definedName>
    <definedName name="solver_lhs6" localSheetId="2" hidden="1">'Scenario A (Y2)'!$B$39:$H$42</definedName>
    <definedName name="solver_lhs6" localSheetId="3" hidden="1">'Scenario A (Y3)'!$B$39:$H$42</definedName>
    <definedName name="solver_lhs6" localSheetId="5" hidden="1">'Scenario B (Y1)'!$B$44:$G$44</definedName>
    <definedName name="solver_lhs6" localSheetId="6" hidden="1">'Scenario B (Y2)'!$B$44:$G$44</definedName>
    <definedName name="solver_lhs6" localSheetId="7" hidden="1">'Scenario B (Y3)'!$J$31</definedName>
    <definedName name="solver_lhs7" localSheetId="1" hidden="1">'Scenario A (Y1)'!$F$34</definedName>
    <definedName name="solver_lhs7" localSheetId="2" hidden="1">'Scenario A (Y2)'!$J$30</definedName>
    <definedName name="solver_lhs7" localSheetId="3" hidden="1">'Scenario A (Y3)'!$J$30</definedName>
    <definedName name="solver_lhs7" localSheetId="6" hidden="1">'Scenario B (Y2)'!$J$30</definedName>
    <definedName name="solver_lhs7" localSheetId="7" hidden="1">'Scenario B (Y3)'!$J$40</definedName>
    <definedName name="solver_lhs8" localSheetId="1" hidden="1">'Scenario A (Y1)'!$B$44</definedName>
    <definedName name="solver_lhs8" localSheetId="2" hidden="1">'Scenario A (Y2)'!$J$31</definedName>
    <definedName name="solver_lhs8" localSheetId="3" hidden="1">'Scenario A (Y3)'!$J$31</definedName>
    <definedName name="solver_lhs8" localSheetId="6" hidden="1">'Scenario B (Y2)'!$J$31</definedName>
    <definedName name="solver_lhs8" localSheetId="7" hidden="1">'Scenario B (Y3)'!$J$41</definedName>
    <definedName name="solver_lhs9" localSheetId="1" hidden="1">'Scenario A (Y1)'!$C$44</definedName>
    <definedName name="solver_lhs9" localSheetId="2" hidden="1">'Scenario A (Y2)'!$J$39</definedName>
    <definedName name="solver_lhs9" localSheetId="3" hidden="1">'Scenario A (Y3)'!$J$40</definedName>
    <definedName name="solver_lhs9" localSheetId="6" hidden="1">'Scenario B (Y2)'!$J$40</definedName>
    <definedName name="solver_lin" localSheetId="1" hidden="1">2</definedName>
    <definedName name="solver_lin" localSheetId="2" hidden="1">2</definedName>
    <definedName name="solver_lin" localSheetId="3" hidden="1">2</definedName>
    <definedName name="solver_lin" localSheetId="5" hidden="1">2</definedName>
    <definedName name="solver_lin" localSheetId="6" hidden="1">2</definedName>
    <definedName name="solver_lin" localSheetId="7" hidden="1">2</definedName>
    <definedName name="solver_lin" localSheetId="9" hidden="1">2</definedName>
    <definedName name="solver_lin" localSheetId="10" hidden="1">2</definedName>
    <definedName name="solver_lin" localSheetId="11" hidden="1">2</definedName>
    <definedName name="solver_neg" localSheetId="1" hidden="1">2</definedName>
    <definedName name="solver_neg" localSheetId="2" hidden="1">2</definedName>
    <definedName name="solver_neg" localSheetId="3" hidden="1">2</definedName>
    <definedName name="solver_neg" localSheetId="5" hidden="1">2</definedName>
    <definedName name="solver_neg" localSheetId="6" hidden="1">2</definedName>
    <definedName name="solver_neg" localSheetId="7" hidden="1">2</definedName>
    <definedName name="solver_neg" localSheetId="9" hidden="1">2</definedName>
    <definedName name="solver_neg" localSheetId="10" hidden="1">2</definedName>
    <definedName name="solver_neg" localSheetId="11" hidden="1">2</definedName>
    <definedName name="solver_num" localSheetId="1" hidden="1">16</definedName>
    <definedName name="solver_num" localSheetId="2" hidden="1">11</definedName>
    <definedName name="solver_num" localSheetId="3" hidden="1">10</definedName>
    <definedName name="solver_num" localSheetId="5" hidden="1">6</definedName>
    <definedName name="solver_num" localSheetId="6" hidden="1">12</definedName>
    <definedName name="solver_num" localSheetId="7" hidden="1">8</definedName>
    <definedName name="solver_num" localSheetId="9" hidden="1">0</definedName>
    <definedName name="solver_num" localSheetId="10" hidden="1">3</definedName>
    <definedName name="solver_num" localSheetId="11" hidden="1">4</definedName>
    <definedName name="solver_nwt" localSheetId="1" hidden="1">1</definedName>
    <definedName name="solver_nwt" localSheetId="2" hidden="1">1</definedName>
    <definedName name="solver_nwt" localSheetId="3" hidden="1">1</definedName>
    <definedName name="solver_nwt" localSheetId="5" hidden="1">1</definedName>
    <definedName name="solver_nwt" localSheetId="6" hidden="1">1</definedName>
    <definedName name="solver_nwt" localSheetId="7" hidden="1">1</definedName>
    <definedName name="solver_nwt" localSheetId="9" hidden="1">1</definedName>
    <definedName name="solver_nwt" localSheetId="10" hidden="1">1</definedName>
    <definedName name="solver_nwt" localSheetId="11" hidden="1">1</definedName>
    <definedName name="solver_opt" localSheetId="1" hidden="1">'Scenario A (Y1)'!$B$52</definedName>
    <definedName name="solver_opt" localSheetId="2" hidden="1">'Scenario A (Y2)'!$B$51</definedName>
    <definedName name="solver_opt" localSheetId="3" hidden="1">'Scenario A (Y3)'!$B$51</definedName>
    <definedName name="solver_opt" localSheetId="5" hidden="1">'Scenario B (Y1)'!$B$52</definedName>
    <definedName name="solver_opt" localSheetId="6" hidden="1">'Scenario B (Y2)'!$B$51</definedName>
    <definedName name="solver_opt" localSheetId="7" hidden="1">'Scenario B (Y3)'!$B$51</definedName>
    <definedName name="solver_opt" localSheetId="10" hidden="1">'Scenario C (Y2)'!$B$58</definedName>
    <definedName name="solver_opt" localSheetId="11" hidden="1">'Scenario C (Y3)'!$B$58</definedName>
    <definedName name="solver_pre" localSheetId="1" hidden="1">0.000001</definedName>
    <definedName name="solver_pre" localSheetId="2" hidden="1">0.000001</definedName>
    <definedName name="solver_pre" localSheetId="3" hidden="1">0.000001</definedName>
    <definedName name="solver_pre" localSheetId="5" hidden="1">0.000001</definedName>
    <definedName name="solver_pre" localSheetId="6" hidden="1">0.000001</definedName>
    <definedName name="solver_pre" localSheetId="7" hidden="1">0.000001</definedName>
    <definedName name="solver_pre" localSheetId="9" hidden="1">0.000001</definedName>
    <definedName name="solver_pre" localSheetId="10" hidden="1">0.000001</definedName>
    <definedName name="solver_pre" localSheetId="11" hidden="1">0.000001</definedName>
    <definedName name="solver_rel1" localSheetId="1" hidden="1">2</definedName>
    <definedName name="solver_rel1" localSheetId="2" hidden="1">2</definedName>
    <definedName name="solver_rel1" localSheetId="3" hidden="1">2</definedName>
    <definedName name="solver_rel1" localSheetId="5" hidden="1">3</definedName>
    <definedName name="solver_rel1" localSheetId="6" hidden="1">3</definedName>
    <definedName name="solver_rel1" localSheetId="7" hidden="1">3</definedName>
    <definedName name="solver_rel1" localSheetId="9" hidden="1">2</definedName>
    <definedName name="solver_rel1" localSheetId="10" hidden="1">2</definedName>
    <definedName name="solver_rel1" localSheetId="11" hidden="1">2</definedName>
    <definedName name="solver_rel10" localSheetId="1" hidden="1">2</definedName>
    <definedName name="solver_rel10" localSheetId="2" hidden="1">2</definedName>
    <definedName name="solver_rel10" localSheetId="3" hidden="1">2</definedName>
    <definedName name="solver_rel10" localSheetId="6" hidden="1">1</definedName>
    <definedName name="solver_rel11" localSheetId="1" hidden="1">2</definedName>
    <definedName name="solver_rel11" localSheetId="2" hidden="1">1</definedName>
    <definedName name="solver_rel11" localSheetId="6" hidden="1">2</definedName>
    <definedName name="solver_rel12" localSheetId="1" hidden="1">2</definedName>
    <definedName name="solver_rel12" localSheetId="6" hidden="1">2</definedName>
    <definedName name="solver_rel13" localSheetId="1" hidden="1">2</definedName>
    <definedName name="solver_rel14" localSheetId="1" hidden="1">3</definedName>
    <definedName name="solver_rel15" localSheetId="1" hidden="1">3</definedName>
    <definedName name="solver_rel16" localSheetId="1" hidden="1">2</definedName>
    <definedName name="solver_rel17" localSheetId="1" hidden="1">2</definedName>
    <definedName name="solver_rel18" localSheetId="1" hidden="1">2</definedName>
    <definedName name="solver_rel19" localSheetId="1" hidden="1">2</definedName>
    <definedName name="solver_rel2" localSheetId="1" hidden="1">2</definedName>
    <definedName name="solver_rel2" localSheetId="2" hidden="1">2</definedName>
    <definedName name="solver_rel2" localSheetId="3" hidden="1">2</definedName>
    <definedName name="solver_rel2" localSheetId="5" hidden="1">3</definedName>
    <definedName name="solver_rel2" localSheetId="6" hidden="1">3</definedName>
    <definedName name="solver_rel2" localSheetId="7" hidden="1">3</definedName>
    <definedName name="solver_rel2" localSheetId="9" hidden="1">2</definedName>
    <definedName name="solver_rel2" localSheetId="10" hidden="1">2</definedName>
    <definedName name="solver_rel2" localSheetId="11" hidden="1">2</definedName>
    <definedName name="solver_rel20" localSheetId="1" hidden="1">2</definedName>
    <definedName name="solver_rel21" localSheetId="1" hidden="1">3</definedName>
    <definedName name="solver_rel22" localSheetId="1" hidden="1">1</definedName>
    <definedName name="solver_rel23" localSheetId="1" hidden="1">3</definedName>
    <definedName name="solver_rel24" localSheetId="1" hidden="1">3</definedName>
    <definedName name="solver_rel25" localSheetId="1" hidden="1">2</definedName>
    <definedName name="solver_rel26" localSheetId="1" hidden="1">1</definedName>
    <definedName name="solver_rel3" localSheetId="1" hidden="1">2</definedName>
    <definedName name="solver_rel3" localSheetId="2" hidden="1">2</definedName>
    <definedName name="solver_rel3" localSheetId="3" hidden="1">2</definedName>
    <definedName name="solver_rel3" localSheetId="5" hidden="1">3</definedName>
    <definedName name="solver_rel3" localSheetId="6" hidden="1">3</definedName>
    <definedName name="solver_rel3" localSheetId="7" hidden="1">2</definedName>
    <definedName name="solver_rel3" localSheetId="9" hidden="1">2</definedName>
    <definedName name="solver_rel3" localSheetId="10" hidden="1">2</definedName>
    <definedName name="solver_rel3" localSheetId="11" hidden="1">2</definedName>
    <definedName name="solver_rel4" localSheetId="1" hidden="1">2</definedName>
    <definedName name="solver_rel4" localSheetId="2" hidden="1">2</definedName>
    <definedName name="solver_rel4" localSheetId="3" hidden="1">2</definedName>
    <definedName name="solver_rel4" localSheetId="5" hidden="1">3</definedName>
    <definedName name="solver_rel4" localSheetId="6" hidden="1">3</definedName>
    <definedName name="solver_rel4" localSheetId="7" hidden="1">2</definedName>
    <definedName name="solver_rel4" localSheetId="9" hidden="1">3</definedName>
    <definedName name="solver_rel4" localSheetId="10" hidden="1">2</definedName>
    <definedName name="solver_rel4" localSheetId="11" hidden="1">3</definedName>
    <definedName name="solver_rel5" localSheetId="1" hidden="1">2</definedName>
    <definedName name="solver_rel5" localSheetId="2" hidden="1">3</definedName>
    <definedName name="solver_rel5" localSheetId="3" hidden="1">3</definedName>
    <definedName name="solver_rel5" localSheetId="5" hidden="1">2</definedName>
    <definedName name="solver_rel5" localSheetId="6" hidden="1">2</definedName>
    <definedName name="solver_rel5" localSheetId="7" hidden="1">2</definedName>
    <definedName name="solver_rel5" localSheetId="9" hidden="1">2</definedName>
    <definedName name="solver_rel6" localSheetId="1" hidden="1">2</definedName>
    <definedName name="solver_rel6" localSheetId="2" hidden="1">3</definedName>
    <definedName name="solver_rel6" localSheetId="3" hidden="1">3</definedName>
    <definedName name="solver_rel6" localSheetId="5" hidden="1">2</definedName>
    <definedName name="solver_rel6" localSheetId="6" hidden="1">2</definedName>
    <definedName name="solver_rel6" localSheetId="7" hidden="1">2</definedName>
    <definedName name="solver_rel7" localSheetId="1" hidden="1">2</definedName>
    <definedName name="solver_rel7" localSheetId="2" hidden="1">2</definedName>
    <definedName name="solver_rel7" localSheetId="3" hidden="1">2</definedName>
    <definedName name="solver_rel7" localSheetId="6" hidden="1">2</definedName>
    <definedName name="solver_rel7" localSheetId="7" hidden="1">2</definedName>
    <definedName name="solver_rel8" localSheetId="1" hidden="1">2</definedName>
    <definedName name="solver_rel8" localSheetId="2" hidden="1">2</definedName>
    <definedName name="solver_rel8" localSheetId="3" hidden="1">1</definedName>
    <definedName name="solver_rel8" localSheetId="6" hidden="1">2</definedName>
    <definedName name="solver_rel8" localSheetId="7" hidden="1">2</definedName>
    <definedName name="solver_rel9" localSheetId="1" hidden="1">2</definedName>
    <definedName name="solver_rel9" localSheetId="2" hidden="1">2</definedName>
    <definedName name="solver_rel9" localSheetId="3" hidden="1">2</definedName>
    <definedName name="solver_rel9" localSheetId="6" hidden="1">2</definedName>
    <definedName name="solver_rhs1" localSheetId="1" hidden="1">0</definedName>
    <definedName name="solver_rhs1" localSheetId="2" hidden="1">0</definedName>
    <definedName name="solver_rhs1" localSheetId="3" hidden="1">0</definedName>
    <definedName name="solver_rhs1" localSheetId="5" hidden="1">0</definedName>
    <definedName name="solver_rhs1" localSheetId="6" hidden="1">0</definedName>
    <definedName name="solver_rhs1" localSheetId="7" hidden="1">0</definedName>
    <definedName name="solver_rhs1" localSheetId="9" hidden="1">0</definedName>
    <definedName name="solver_rhs1" localSheetId="10" hidden="1">0</definedName>
    <definedName name="solver_rhs1" localSheetId="11" hidden="1">0</definedName>
    <definedName name="solver_rhs10" localSheetId="1" hidden="1">0</definedName>
    <definedName name="solver_rhs10" localSheetId="2" hidden="1">4500</definedName>
    <definedName name="solver_rhs10" localSheetId="3" hidden="1">5200</definedName>
    <definedName name="solver_rhs10" localSheetId="6" hidden="1">4500</definedName>
    <definedName name="solver_rhs11" localSheetId="1" hidden="1">0</definedName>
    <definedName name="solver_rhs11" localSheetId="2" hidden="1">5200</definedName>
    <definedName name="solver_rhs11" localSheetId="6" hidden="1">5200</definedName>
    <definedName name="solver_rhs12" localSheetId="1" hidden="1">0</definedName>
    <definedName name="solver_rhs12" localSheetId="6" hidden="1">7000</definedName>
    <definedName name="solver_rhs13" localSheetId="1" hidden="1">0</definedName>
    <definedName name="solver_rhs14" localSheetId="1" hidden="1">0</definedName>
    <definedName name="solver_rhs15" localSheetId="1" hidden="1">0</definedName>
    <definedName name="solver_rhs16" localSheetId="1" hidden="1">0</definedName>
    <definedName name="solver_rhs17" localSheetId="1" hidden="1">'Scenario A (Y1)'!$D$15</definedName>
    <definedName name="solver_rhs18" localSheetId="1" hidden="1">'Scenario A (Y1)'!$E$15</definedName>
    <definedName name="solver_rhs19" localSheetId="1" hidden="1">'Scenario A (Y1)'!$F$15</definedName>
    <definedName name="solver_rhs2" localSheetId="1" hidden="1">0</definedName>
    <definedName name="solver_rhs2" localSheetId="2" hidden="1">0</definedName>
    <definedName name="solver_rhs2" localSheetId="3" hidden="1">0</definedName>
    <definedName name="solver_rhs2" localSheetId="5" hidden="1">0</definedName>
    <definedName name="solver_rhs2" localSheetId="6" hidden="1">0</definedName>
    <definedName name="solver_rhs2" localSheetId="7" hidden="1">0</definedName>
    <definedName name="solver_rhs2" localSheetId="9" hidden="1">4000</definedName>
    <definedName name="solver_rhs2" localSheetId="10" hidden="1">4000</definedName>
    <definedName name="solver_rhs2" localSheetId="11" hidden="1">4000</definedName>
    <definedName name="solver_rhs20" localSheetId="1" hidden="1">'Scenario A (Y1)'!$G$15</definedName>
    <definedName name="solver_rhs21" localSheetId="1" hidden="1">0</definedName>
    <definedName name="solver_rhs22" localSheetId="1" hidden="1">3600</definedName>
    <definedName name="solver_rhs23" localSheetId="1" hidden="1">0</definedName>
    <definedName name="solver_rhs24" localSheetId="1" hidden="1">0</definedName>
    <definedName name="solver_rhs25" localSheetId="1" hidden="1">5500</definedName>
    <definedName name="solver_rhs26" localSheetId="1" hidden="1">3600</definedName>
    <definedName name="solver_rhs3" localSheetId="1" hidden="1">0</definedName>
    <definedName name="solver_rhs3" localSheetId="2" hidden="1">0</definedName>
    <definedName name="solver_rhs3" localSheetId="3" hidden="1">0</definedName>
    <definedName name="solver_rhs3" localSheetId="5" hidden="1">0</definedName>
    <definedName name="solver_rhs3" localSheetId="6" hidden="1">0</definedName>
    <definedName name="solver_rhs3" localSheetId="7" hidden="1">0</definedName>
    <definedName name="solver_rhs3" localSheetId="9" hidden="1">5500</definedName>
    <definedName name="solver_rhs3" localSheetId="10" hidden="1">5500</definedName>
    <definedName name="solver_rhs3" localSheetId="11" hidden="1">5500</definedName>
    <definedName name="solver_rhs4" localSheetId="1" hidden="1">0</definedName>
    <definedName name="solver_rhs4" localSheetId="2" hidden="1">0</definedName>
    <definedName name="solver_rhs4" localSheetId="3" hidden="1">0</definedName>
    <definedName name="solver_rhs4" localSheetId="5" hidden="1">0</definedName>
    <definedName name="solver_rhs4" localSheetId="6" hidden="1">0</definedName>
    <definedName name="solver_rhs4" localSheetId="7" hidden="1">0</definedName>
    <definedName name="solver_rhs4" localSheetId="9" hidden="1">0</definedName>
    <definedName name="solver_rhs4" localSheetId="10" hidden="1">7000</definedName>
    <definedName name="solver_rhs4" localSheetId="11" hidden="1">0</definedName>
    <definedName name="solver_rhs5" localSheetId="1" hidden="1">0</definedName>
    <definedName name="solver_rhs5" localSheetId="2" hidden="1">0</definedName>
    <definedName name="solver_rhs5" localSheetId="3" hidden="1">0</definedName>
    <definedName name="solver_rhs5" localSheetId="5" hidden="1">0</definedName>
    <definedName name="solver_rhs5" localSheetId="6" hidden="1">0</definedName>
    <definedName name="solver_rhs5" localSheetId="7" hidden="1">6000</definedName>
    <definedName name="solver_rhs5" localSheetId="9" hidden="1">5500</definedName>
    <definedName name="solver_rhs6" localSheetId="1" hidden="1">0</definedName>
    <definedName name="solver_rhs6" localSheetId="2" hidden="1">0</definedName>
    <definedName name="solver_rhs6" localSheetId="3" hidden="1">0</definedName>
    <definedName name="solver_rhs6" localSheetId="5" hidden="1">0</definedName>
    <definedName name="solver_rhs6" localSheetId="6" hidden="1">0</definedName>
    <definedName name="solver_rhs6" localSheetId="7" hidden="1">7000</definedName>
    <definedName name="solver_rhs7" localSheetId="1" hidden="1">0</definedName>
    <definedName name="solver_rhs7" localSheetId="2" hidden="1">6000</definedName>
    <definedName name="solver_rhs7" localSheetId="3" hidden="1">6000</definedName>
    <definedName name="solver_rhs7" localSheetId="6" hidden="1">6000</definedName>
    <definedName name="solver_rhs7" localSheetId="7" hidden="1">4500</definedName>
    <definedName name="solver_rhs8" localSheetId="1" hidden="1">0</definedName>
    <definedName name="solver_rhs8" localSheetId="2" hidden="1">7000</definedName>
    <definedName name="solver_rhs8" localSheetId="3" hidden="1">7000</definedName>
    <definedName name="solver_rhs8" localSheetId="6" hidden="1">0</definedName>
    <definedName name="solver_rhs8" localSheetId="7" hidden="1">5200</definedName>
    <definedName name="solver_rhs9" localSheetId="1" hidden="1">0</definedName>
    <definedName name="solver_rhs9" localSheetId="2" hidden="1">0</definedName>
    <definedName name="solver_rhs9" localSheetId="3" hidden="1">4500</definedName>
    <definedName name="solver_rhs9" localSheetId="6" hidden="1">0</definedName>
    <definedName name="solver_scl" localSheetId="1" hidden="1">2</definedName>
    <definedName name="solver_scl" localSheetId="2" hidden="1">2</definedName>
    <definedName name="solver_scl" localSheetId="3" hidden="1">2</definedName>
    <definedName name="solver_scl" localSheetId="5" hidden="1">2</definedName>
    <definedName name="solver_scl" localSheetId="6" hidden="1">2</definedName>
    <definedName name="solver_scl" localSheetId="7" hidden="1">2</definedName>
    <definedName name="solver_scl" localSheetId="9" hidden="1">2</definedName>
    <definedName name="solver_scl" localSheetId="10" hidden="1">2</definedName>
    <definedName name="solver_scl" localSheetId="11" hidden="1">2</definedName>
    <definedName name="solver_sho" localSheetId="1" hidden="1">2</definedName>
    <definedName name="solver_sho" localSheetId="2" hidden="1">2</definedName>
    <definedName name="solver_sho" localSheetId="3" hidden="1">2</definedName>
    <definedName name="solver_sho" localSheetId="5" hidden="1">2</definedName>
    <definedName name="solver_sho" localSheetId="6" hidden="1">2</definedName>
    <definedName name="solver_sho" localSheetId="7" hidden="1">2</definedName>
    <definedName name="solver_sho" localSheetId="9" hidden="1">2</definedName>
    <definedName name="solver_sho" localSheetId="10" hidden="1">2</definedName>
    <definedName name="solver_sho" localSheetId="11" hidden="1">2</definedName>
    <definedName name="solver_tim" localSheetId="1" hidden="1">100</definedName>
    <definedName name="solver_tim" localSheetId="2" hidden="1">100</definedName>
    <definedName name="solver_tim" localSheetId="3" hidden="1">100</definedName>
    <definedName name="solver_tim" localSheetId="5" hidden="1">100</definedName>
    <definedName name="solver_tim" localSheetId="6" hidden="1">100</definedName>
    <definedName name="solver_tim" localSheetId="7" hidden="1">100</definedName>
    <definedName name="solver_tim" localSheetId="9" hidden="1">100</definedName>
    <definedName name="solver_tim" localSheetId="10" hidden="1">100</definedName>
    <definedName name="solver_tim" localSheetId="11" hidden="1">100</definedName>
    <definedName name="solver_tol" localSheetId="1" hidden="1">0.05</definedName>
    <definedName name="solver_tol" localSheetId="2" hidden="1">0.05</definedName>
    <definedName name="solver_tol" localSheetId="3" hidden="1">0.05</definedName>
    <definedName name="solver_tol" localSheetId="5" hidden="1">0.05</definedName>
    <definedName name="solver_tol" localSheetId="6" hidden="1">0.05</definedName>
    <definedName name="solver_tol" localSheetId="7" hidden="1">0.05</definedName>
    <definedName name="solver_tol" localSheetId="9" hidden="1">0.05</definedName>
    <definedName name="solver_tol" localSheetId="10" hidden="1">0.05</definedName>
    <definedName name="solver_tol" localSheetId="11" hidden="1">0.05</definedName>
    <definedName name="solver_typ" localSheetId="1" hidden="1">2</definedName>
    <definedName name="solver_typ" localSheetId="2" hidden="1">1</definedName>
    <definedName name="solver_typ" localSheetId="3" hidden="1">2</definedName>
    <definedName name="solver_typ" localSheetId="5" hidden="1">2</definedName>
    <definedName name="solver_typ" localSheetId="6" hidden="1">2</definedName>
    <definedName name="solver_typ" localSheetId="7" hidden="1">2</definedName>
    <definedName name="solver_typ" localSheetId="9" hidden="1">1</definedName>
    <definedName name="solver_typ" localSheetId="10" hidden="1">2</definedName>
    <definedName name="solver_typ" localSheetId="11" hidden="1">2</definedName>
    <definedName name="solver_val" localSheetId="1" hidden="1">0</definedName>
    <definedName name="solver_val" localSheetId="2" hidden="1">0</definedName>
    <definedName name="solver_val" localSheetId="3" hidden="1">0</definedName>
    <definedName name="solver_val" localSheetId="5" hidden="1">0</definedName>
    <definedName name="solver_val" localSheetId="6" hidden="1">0</definedName>
    <definedName name="solver_val" localSheetId="7" hidden="1">0</definedName>
    <definedName name="solver_val" localSheetId="9" hidden="1">0</definedName>
    <definedName name="solver_val" localSheetId="10" hidden="1">0</definedName>
    <definedName name="solver_val" localSheetId="11" hidden="1">0</definedName>
  </definedNames>
  <calcPr calcId="125725"/>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I15" i="29"/>
  <c r="I14"/>
  <c r="I9"/>
  <c r="I8"/>
  <c r="I13" i="28"/>
  <c r="I7"/>
  <c r="I39" i="26"/>
  <c r="H40" i="25"/>
  <c r="H41"/>
  <c r="H30"/>
  <c r="H31"/>
  <c r="H32"/>
  <c r="G15" i="26"/>
  <c r="F15"/>
  <c r="E15"/>
  <c r="D15"/>
  <c r="C15"/>
  <c r="B15"/>
  <c r="G14"/>
  <c r="G16" s="1"/>
  <c r="F14"/>
  <c r="F16" s="1"/>
  <c r="E14"/>
  <c r="E16" s="1"/>
  <c r="D14"/>
  <c r="D16" s="1"/>
  <c r="C14"/>
  <c r="C16" s="1"/>
  <c r="B14"/>
  <c r="B16" s="1"/>
  <c r="G24"/>
  <c r="F24"/>
  <c r="E24"/>
  <c r="D24"/>
  <c r="C24"/>
  <c r="B24"/>
  <c r="G23"/>
  <c r="F23"/>
  <c r="E23"/>
  <c r="D23"/>
  <c r="C23"/>
  <c r="B23"/>
  <c r="G22"/>
  <c r="F22"/>
  <c r="E22"/>
  <c r="D22"/>
  <c r="C22"/>
  <c r="B22"/>
  <c r="G21"/>
  <c r="F21"/>
  <c r="E21"/>
  <c r="D21"/>
  <c r="C21"/>
  <c r="B21"/>
  <c r="B56" i="27"/>
  <c r="B50"/>
  <c r="G43"/>
  <c r="F43"/>
  <c r="E43"/>
  <c r="D43"/>
  <c r="C43"/>
  <c r="B43"/>
  <c r="I42"/>
  <c r="J42" s="1"/>
  <c r="I41"/>
  <c r="J41" s="1"/>
  <c r="I40"/>
  <c r="I39"/>
  <c r="J39" s="1"/>
  <c r="G33"/>
  <c r="F33"/>
  <c r="E33"/>
  <c r="D33"/>
  <c r="C33"/>
  <c r="B33"/>
  <c r="I32"/>
  <c r="J32" s="1"/>
  <c r="I31"/>
  <c r="J31" s="1"/>
  <c r="I30"/>
  <c r="J30" s="1"/>
  <c r="I29"/>
  <c r="B56" i="26"/>
  <c r="B50"/>
  <c r="G43"/>
  <c r="F43"/>
  <c r="E43"/>
  <c r="D43"/>
  <c r="C43"/>
  <c r="B43"/>
  <c r="I42"/>
  <c r="J42" s="1"/>
  <c r="I41"/>
  <c r="J41" s="1"/>
  <c r="I40"/>
  <c r="J39"/>
  <c r="G33"/>
  <c r="F33"/>
  <c r="E33"/>
  <c r="D33"/>
  <c r="C33"/>
  <c r="B33"/>
  <c r="I32"/>
  <c r="J32" s="1"/>
  <c r="I31"/>
  <c r="J31" s="1"/>
  <c r="I30"/>
  <c r="J30" s="1"/>
  <c r="I29"/>
  <c r="B49" s="1"/>
  <c r="G44"/>
  <c r="F44"/>
  <c r="E44"/>
  <c r="D44"/>
  <c r="C44"/>
  <c r="B44"/>
  <c r="G34"/>
  <c r="F34"/>
  <c r="E34"/>
  <c r="D34"/>
  <c r="C34"/>
  <c r="B34"/>
  <c r="B58" i="25"/>
  <c r="B57"/>
  <c r="B51"/>
  <c r="B50"/>
  <c r="I37" i="28"/>
  <c r="I36"/>
  <c r="I31"/>
  <c r="I30"/>
  <c r="I25"/>
  <c r="I24"/>
  <c r="I19"/>
  <c r="I18"/>
  <c r="I12"/>
  <c r="I6"/>
  <c r="G43" i="25"/>
  <c r="F43"/>
  <c r="E43"/>
  <c r="D43"/>
  <c r="C43"/>
  <c r="B43"/>
  <c r="I42"/>
  <c r="J42" s="1"/>
  <c r="I41"/>
  <c r="J41" s="1"/>
  <c r="I40"/>
  <c r="J40" s="1"/>
  <c r="I39"/>
  <c r="J39" s="1"/>
  <c r="G33"/>
  <c r="F33"/>
  <c r="E33"/>
  <c r="D33"/>
  <c r="C33"/>
  <c r="B33"/>
  <c r="I32"/>
  <c r="J32" s="1"/>
  <c r="I31"/>
  <c r="J31" s="1"/>
  <c r="I30"/>
  <c r="J30" s="1"/>
  <c r="I29"/>
  <c r="G24"/>
  <c r="F24"/>
  <c r="E24"/>
  <c r="D24"/>
  <c r="C24"/>
  <c r="B24"/>
  <c r="G23"/>
  <c r="F23"/>
  <c r="E23"/>
  <c r="D23"/>
  <c r="C23"/>
  <c r="B23"/>
  <c r="G22"/>
  <c r="F22"/>
  <c r="E22"/>
  <c r="D22"/>
  <c r="C22"/>
  <c r="B22"/>
  <c r="G21"/>
  <c r="F21"/>
  <c r="E21"/>
  <c r="D21"/>
  <c r="C21"/>
  <c r="B21"/>
  <c r="G15"/>
  <c r="G44" s="1"/>
  <c r="F15"/>
  <c r="E15"/>
  <c r="E44" s="1"/>
  <c r="D15"/>
  <c r="C15"/>
  <c r="C44" s="1"/>
  <c r="B15"/>
  <c r="G14"/>
  <c r="G34" s="1"/>
  <c r="F14"/>
  <c r="F34" s="1"/>
  <c r="E14"/>
  <c r="E34" s="1"/>
  <c r="D14"/>
  <c r="D34" s="1"/>
  <c r="C14"/>
  <c r="C34" s="1"/>
  <c r="B14"/>
  <c r="B34" s="1"/>
  <c r="I37" i="24"/>
  <c r="I36"/>
  <c r="I31"/>
  <c r="I30"/>
  <c r="I25"/>
  <c r="I24"/>
  <c r="I19"/>
  <c r="I18"/>
  <c r="I13"/>
  <c r="I12"/>
  <c r="I7"/>
  <c r="I6"/>
  <c r="B49" i="23"/>
  <c r="G43"/>
  <c r="F43"/>
  <c r="E43"/>
  <c r="D43"/>
  <c r="C43"/>
  <c r="B43"/>
  <c r="I42"/>
  <c r="J42" s="1"/>
  <c r="I41"/>
  <c r="J41" s="1"/>
  <c r="I40"/>
  <c r="J40" s="1"/>
  <c r="I39"/>
  <c r="J39" s="1"/>
  <c r="G33"/>
  <c r="F33"/>
  <c r="E33"/>
  <c r="D33"/>
  <c r="C33"/>
  <c r="B33"/>
  <c r="I32"/>
  <c r="J32" s="1"/>
  <c r="I31"/>
  <c r="J31" s="1"/>
  <c r="I30"/>
  <c r="J30" s="1"/>
  <c r="I29"/>
  <c r="B49" i="22"/>
  <c r="G43"/>
  <c r="F43"/>
  <c r="E43"/>
  <c r="D43"/>
  <c r="C43"/>
  <c r="B43"/>
  <c r="I42"/>
  <c r="J42" s="1"/>
  <c r="I41"/>
  <c r="J41" s="1"/>
  <c r="I40"/>
  <c r="J40" s="1"/>
  <c r="I39"/>
  <c r="J39" s="1"/>
  <c r="G33"/>
  <c r="F33"/>
  <c r="E33"/>
  <c r="D33"/>
  <c r="C33"/>
  <c r="B33"/>
  <c r="I32"/>
  <c r="J32" s="1"/>
  <c r="I31"/>
  <c r="J31" s="1"/>
  <c r="I30"/>
  <c r="J30" s="1"/>
  <c r="I29"/>
  <c r="G24"/>
  <c r="F24"/>
  <c r="E24"/>
  <c r="D24"/>
  <c r="C24"/>
  <c r="B24"/>
  <c r="G23"/>
  <c r="F23"/>
  <c r="E23"/>
  <c r="D23"/>
  <c r="C23"/>
  <c r="B23"/>
  <c r="G22"/>
  <c r="F22"/>
  <c r="E22"/>
  <c r="D22"/>
  <c r="C22"/>
  <c r="B22"/>
  <c r="G21"/>
  <c r="F21"/>
  <c r="E21"/>
  <c r="D21"/>
  <c r="C21"/>
  <c r="B21"/>
  <c r="B50" s="1"/>
  <c r="G15"/>
  <c r="G44" s="1"/>
  <c r="F15"/>
  <c r="F44" s="1"/>
  <c r="E15"/>
  <c r="E44" s="1"/>
  <c r="D15"/>
  <c r="D44" s="1"/>
  <c r="C15"/>
  <c r="C44" s="1"/>
  <c r="B15"/>
  <c r="B44" s="1"/>
  <c r="G14"/>
  <c r="G34" s="1"/>
  <c r="F14"/>
  <c r="F34" s="1"/>
  <c r="E14"/>
  <c r="E34" s="1"/>
  <c r="D14"/>
  <c r="D34" s="1"/>
  <c r="C14"/>
  <c r="C34" s="1"/>
  <c r="B14"/>
  <c r="B34" s="1"/>
  <c r="B50" i="21"/>
  <c r="G43"/>
  <c r="F43"/>
  <c r="E43"/>
  <c r="D43"/>
  <c r="C43"/>
  <c r="B43"/>
  <c r="I42"/>
  <c r="J42" s="1"/>
  <c r="I41"/>
  <c r="J41" s="1"/>
  <c r="I40"/>
  <c r="J40" s="1"/>
  <c r="I39"/>
  <c r="J39" s="1"/>
  <c r="G33"/>
  <c r="F33"/>
  <c r="E33"/>
  <c r="D33"/>
  <c r="C33"/>
  <c r="B33"/>
  <c r="I32"/>
  <c r="J32" s="1"/>
  <c r="I31"/>
  <c r="J31" s="1"/>
  <c r="I30"/>
  <c r="J30" s="1"/>
  <c r="I29"/>
  <c r="G24"/>
  <c r="F24"/>
  <c r="E24"/>
  <c r="D24"/>
  <c r="C24"/>
  <c r="B24"/>
  <c r="G23"/>
  <c r="F23"/>
  <c r="E23"/>
  <c r="D23"/>
  <c r="C23"/>
  <c r="B23"/>
  <c r="G22"/>
  <c r="F22"/>
  <c r="E22"/>
  <c r="D22"/>
  <c r="C22"/>
  <c r="B22"/>
  <c r="G21"/>
  <c r="F21"/>
  <c r="E21"/>
  <c r="D21"/>
  <c r="C21"/>
  <c r="B21"/>
  <c r="B51" s="1"/>
  <c r="G15"/>
  <c r="F15"/>
  <c r="F44" s="1"/>
  <c r="E15"/>
  <c r="D15"/>
  <c r="D44" s="1"/>
  <c r="C15"/>
  <c r="B15"/>
  <c r="B44" s="1"/>
  <c r="G14"/>
  <c r="F14"/>
  <c r="F34" s="1"/>
  <c r="E14"/>
  <c r="D14"/>
  <c r="D34" s="1"/>
  <c r="C14"/>
  <c r="B14"/>
  <c r="B34" s="1"/>
  <c r="I37" i="20"/>
  <c r="I36"/>
  <c r="I31"/>
  <c r="I30"/>
  <c r="I25"/>
  <c r="I24"/>
  <c r="I19"/>
  <c r="I18"/>
  <c r="I13"/>
  <c r="I12"/>
  <c r="I7"/>
  <c r="I6"/>
  <c r="B49" i="19"/>
  <c r="G43"/>
  <c r="F43"/>
  <c r="E43"/>
  <c r="D43"/>
  <c r="C43"/>
  <c r="B43"/>
  <c r="I42"/>
  <c r="J42" s="1"/>
  <c r="I41"/>
  <c r="J41" s="1"/>
  <c r="I40"/>
  <c r="J40" s="1"/>
  <c r="I39"/>
  <c r="J39" s="1"/>
  <c r="G33"/>
  <c r="F33"/>
  <c r="E33"/>
  <c r="D33"/>
  <c r="C33"/>
  <c r="B33"/>
  <c r="I32"/>
  <c r="J32" s="1"/>
  <c r="I31"/>
  <c r="J31" s="1"/>
  <c r="I30"/>
  <c r="J30" s="1"/>
  <c r="I29"/>
  <c r="H40" i="18"/>
  <c r="H41"/>
  <c r="H42"/>
  <c r="H39"/>
  <c r="H30"/>
  <c r="H31"/>
  <c r="H32"/>
  <c r="H29"/>
  <c r="H40" i="11"/>
  <c r="H41"/>
  <c r="H42"/>
  <c r="H39"/>
  <c r="H30"/>
  <c r="H31"/>
  <c r="H32"/>
  <c r="H29"/>
  <c r="J42"/>
  <c r="J41"/>
  <c r="J40"/>
  <c r="G15" i="18"/>
  <c r="G15" i="19" s="1"/>
  <c r="F15" i="18"/>
  <c r="F15" i="19" s="1"/>
  <c r="E15" i="18"/>
  <c r="E15" i="19" s="1"/>
  <c r="D15" i="18"/>
  <c r="D15" i="19" s="1"/>
  <c r="C15" i="18"/>
  <c r="C15" i="19" s="1"/>
  <c r="B15" i="18"/>
  <c r="B15" i="19" s="1"/>
  <c r="G14" i="18"/>
  <c r="G16" s="1"/>
  <c r="G16" i="19" s="1"/>
  <c r="F14" i="18"/>
  <c r="F16" s="1"/>
  <c r="F16" i="19" s="1"/>
  <c r="E14" i="18"/>
  <c r="E16" s="1"/>
  <c r="E16" i="19" s="1"/>
  <c r="D14" i="18"/>
  <c r="D16" s="1"/>
  <c r="D16" i="19" s="1"/>
  <c r="C14" i="18"/>
  <c r="C16" s="1"/>
  <c r="C16" i="19" s="1"/>
  <c r="B14" i="18"/>
  <c r="B16" s="1"/>
  <c r="B16" i="19" s="1"/>
  <c r="G24" i="18"/>
  <c r="G24" i="19" s="1"/>
  <c r="F24" i="18"/>
  <c r="F24" i="19" s="1"/>
  <c r="E24" i="18"/>
  <c r="E24" i="19" s="1"/>
  <c r="D24" i="18"/>
  <c r="D24" i="19" s="1"/>
  <c r="C24" i="18"/>
  <c r="C24" i="19" s="1"/>
  <c r="B24" i="18"/>
  <c r="B24" i="19" s="1"/>
  <c r="G23" i="18"/>
  <c r="G23" i="19" s="1"/>
  <c r="F23" i="18"/>
  <c r="F23" i="19" s="1"/>
  <c r="E23" i="18"/>
  <c r="E23" i="19" s="1"/>
  <c r="D23" i="18"/>
  <c r="D23" i="19" s="1"/>
  <c r="C23" i="18"/>
  <c r="C23" i="19" s="1"/>
  <c r="B23" i="18"/>
  <c r="B23" i="19" s="1"/>
  <c r="G22" i="18"/>
  <c r="G22" i="19" s="1"/>
  <c r="F22" i="18"/>
  <c r="F22" i="19" s="1"/>
  <c r="E22" i="18"/>
  <c r="E22" i="19" s="1"/>
  <c r="D22" i="18"/>
  <c r="D22" i="19" s="1"/>
  <c r="C22" i="18"/>
  <c r="C22" i="19" s="1"/>
  <c r="B22" i="18"/>
  <c r="B22" i="19" s="1"/>
  <c r="G21" i="18"/>
  <c r="G21" i="19" s="1"/>
  <c r="F21" i="18"/>
  <c r="F21" i="19" s="1"/>
  <c r="E21" i="18"/>
  <c r="E21" i="19" s="1"/>
  <c r="D21" i="18"/>
  <c r="D21" i="19" s="1"/>
  <c r="C21" i="18"/>
  <c r="C21" i="19" s="1"/>
  <c r="B21" i="18"/>
  <c r="B21" i="19" s="1"/>
  <c r="B49" i="18"/>
  <c r="G43"/>
  <c r="F43"/>
  <c r="E43"/>
  <c r="D43"/>
  <c r="D44" s="1"/>
  <c r="C43"/>
  <c r="B43"/>
  <c r="B44" s="1"/>
  <c r="I42"/>
  <c r="J42" s="1"/>
  <c r="I41"/>
  <c r="J41" s="1"/>
  <c r="I40"/>
  <c r="J40" s="1"/>
  <c r="I39"/>
  <c r="J39" s="1"/>
  <c r="G33"/>
  <c r="F33"/>
  <c r="F34" s="1"/>
  <c r="E33"/>
  <c r="D33"/>
  <c r="D34" s="1"/>
  <c r="C33"/>
  <c r="B33"/>
  <c r="B34" s="1"/>
  <c r="I32"/>
  <c r="J32" s="1"/>
  <c r="I31"/>
  <c r="J31" s="1"/>
  <c r="I30"/>
  <c r="J30" s="1"/>
  <c r="I29"/>
  <c r="F44"/>
  <c r="I40" i="11"/>
  <c r="I41"/>
  <c r="I42"/>
  <c r="I31"/>
  <c r="J31" s="1"/>
  <c r="I32"/>
  <c r="J32" s="1"/>
  <c r="I30"/>
  <c r="J30" s="1"/>
  <c r="I29"/>
  <c r="J29" s="1"/>
  <c r="C33"/>
  <c r="C34" s="1"/>
  <c r="D33"/>
  <c r="D34" s="1"/>
  <c r="E33"/>
  <c r="E34" s="1"/>
  <c r="F33"/>
  <c r="F34" s="1"/>
  <c r="G33"/>
  <c r="G34" s="1"/>
  <c r="B33"/>
  <c r="B34" s="1"/>
  <c r="C43"/>
  <c r="C44" s="1"/>
  <c r="D43"/>
  <c r="D44" s="1"/>
  <c r="E43"/>
  <c r="E44" s="1"/>
  <c r="F43"/>
  <c r="F44" s="1"/>
  <c r="G43"/>
  <c r="G44" s="1"/>
  <c r="B43"/>
  <c r="B44" s="1"/>
  <c r="B50"/>
  <c r="G24"/>
  <c r="G23"/>
  <c r="G22"/>
  <c r="G21"/>
  <c r="F24"/>
  <c r="F23"/>
  <c r="F22"/>
  <c r="F21"/>
  <c r="E23"/>
  <c r="E22"/>
  <c r="E21"/>
  <c r="E24"/>
  <c r="D24"/>
  <c r="D23"/>
  <c r="D22"/>
  <c r="D21"/>
  <c r="C24"/>
  <c r="C23"/>
  <c r="C22"/>
  <c r="C21"/>
  <c r="B24"/>
  <c r="B23"/>
  <c r="B22"/>
  <c r="B21"/>
  <c r="G15"/>
  <c r="F15"/>
  <c r="E15"/>
  <c r="D15"/>
  <c r="C15"/>
  <c r="B15"/>
  <c r="G14"/>
  <c r="G16" s="1"/>
  <c r="F14"/>
  <c r="E14"/>
  <c r="E16" s="1"/>
  <c r="D14"/>
  <c r="C14"/>
  <c r="B14"/>
  <c r="I39"/>
  <c r="J39" s="1"/>
  <c r="F16"/>
  <c r="D16"/>
  <c r="J40" i="2"/>
  <c r="I40"/>
  <c r="J30"/>
  <c r="I30"/>
  <c r="B52"/>
  <c r="B50"/>
  <c r="B49"/>
  <c r="B51"/>
  <c r="C16"/>
  <c r="D16"/>
  <c r="E16"/>
  <c r="F16"/>
  <c r="G16"/>
  <c r="B16"/>
  <c r="B50" i="18" l="1"/>
  <c r="C34"/>
  <c r="E34"/>
  <c r="G34"/>
  <c r="C44"/>
  <c r="E44"/>
  <c r="G44"/>
  <c r="B50" i="19"/>
  <c r="B14" i="23"/>
  <c r="B34" s="1"/>
  <c r="D14"/>
  <c r="D34" s="1"/>
  <c r="F14"/>
  <c r="F34" s="1"/>
  <c r="B15"/>
  <c r="B44" s="1"/>
  <c r="D15"/>
  <c r="D44" s="1"/>
  <c r="F15"/>
  <c r="F44" s="1"/>
  <c r="B16"/>
  <c r="D16"/>
  <c r="F16"/>
  <c r="B21"/>
  <c r="D21"/>
  <c r="F21"/>
  <c r="B22"/>
  <c r="D22"/>
  <c r="F22"/>
  <c r="B23"/>
  <c r="D23"/>
  <c r="F23"/>
  <c r="B24"/>
  <c r="D24"/>
  <c r="F24"/>
  <c r="C14" i="27"/>
  <c r="C34" s="1"/>
  <c r="E14"/>
  <c r="E34" s="1"/>
  <c r="G14"/>
  <c r="G34" s="1"/>
  <c r="C15"/>
  <c r="C44" s="1"/>
  <c r="E15"/>
  <c r="E44" s="1"/>
  <c r="G15"/>
  <c r="G44" s="1"/>
  <c r="C16"/>
  <c r="E16"/>
  <c r="G16"/>
  <c r="C21"/>
  <c r="E21"/>
  <c r="G21"/>
  <c r="C22"/>
  <c r="E22"/>
  <c r="G22"/>
  <c r="C23"/>
  <c r="E23"/>
  <c r="G23"/>
  <c r="C24"/>
  <c r="E24"/>
  <c r="G24"/>
  <c r="C14" i="23"/>
  <c r="C34" s="1"/>
  <c r="E14"/>
  <c r="E34" s="1"/>
  <c r="G14"/>
  <c r="G34" s="1"/>
  <c r="C15"/>
  <c r="C44" s="1"/>
  <c r="E15"/>
  <c r="E44" s="1"/>
  <c r="G15"/>
  <c r="G44" s="1"/>
  <c r="C16"/>
  <c r="E16"/>
  <c r="G16"/>
  <c r="C21"/>
  <c r="E21"/>
  <c r="G21"/>
  <c r="C22"/>
  <c r="E22"/>
  <c r="G22"/>
  <c r="C23"/>
  <c r="E23"/>
  <c r="G23"/>
  <c r="C24"/>
  <c r="E24"/>
  <c r="G24"/>
  <c r="B14" i="27"/>
  <c r="B34" s="1"/>
  <c r="D14"/>
  <c r="D34" s="1"/>
  <c r="F14"/>
  <c r="F34" s="1"/>
  <c r="B15"/>
  <c r="B44" s="1"/>
  <c r="D15"/>
  <c r="D44" s="1"/>
  <c r="F15"/>
  <c r="F44" s="1"/>
  <c r="B16"/>
  <c r="D16"/>
  <c r="F16"/>
  <c r="B21"/>
  <c r="D21"/>
  <c r="B51" s="1"/>
  <c r="F21"/>
  <c r="B22"/>
  <c r="D22"/>
  <c r="F22"/>
  <c r="B23"/>
  <c r="D23"/>
  <c r="F23"/>
  <c r="B24"/>
  <c r="D24"/>
  <c r="F24"/>
  <c r="B49"/>
  <c r="B62" i="26"/>
  <c r="J29" i="27"/>
  <c r="B62"/>
  <c r="B51" i="26"/>
  <c r="H29"/>
  <c r="J29"/>
  <c r="H31"/>
  <c r="B48" i="27"/>
  <c r="B55"/>
  <c r="B57"/>
  <c r="J40"/>
  <c r="B48" i="26"/>
  <c r="B55"/>
  <c r="B57"/>
  <c r="H30"/>
  <c r="H32"/>
  <c r="J40"/>
  <c r="B44" i="25"/>
  <c r="D44"/>
  <c r="F44"/>
  <c r="B56"/>
  <c r="B55"/>
  <c r="B49"/>
  <c r="H29"/>
  <c r="J29"/>
  <c r="B48"/>
  <c r="B65"/>
  <c r="B64"/>
  <c r="B16"/>
  <c r="D16"/>
  <c r="F16"/>
  <c r="C16"/>
  <c r="E16"/>
  <c r="G16"/>
  <c r="B48" i="23"/>
  <c r="H41"/>
  <c r="H29"/>
  <c r="J29"/>
  <c r="H31"/>
  <c r="H39"/>
  <c r="B48" i="22"/>
  <c r="B51" s="1"/>
  <c r="H29"/>
  <c r="J29"/>
  <c r="H31"/>
  <c r="H39"/>
  <c r="H41"/>
  <c r="C34" i="21"/>
  <c r="E34"/>
  <c r="G34"/>
  <c r="C44"/>
  <c r="E44"/>
  <c r="G44"/>
  <c r="H30"/>
  <c r="H40"/>
  <c r="H42"/>
  <c r="B49"/>
  <c r="H32"/>
  <c r="H30" i="23"/>
  <c r="H32"/>
  <c r="H40"/>
  <c r="H42"/>
  <c r="C16" i="22"/>
  <c r="E16"/>
  <c r="G16"/>
  <c r="H30"/>
  <c r="H32"/>
  <c r="H40"/>
  <c r="H42"/>
  <c r="B16"/>
  <c r="D16"/>
  <c r="F16"/>
  <c r="B16" i="21"/>
  <c r="D16"/>
  <c r="F16"/>
  <c r="H29"/>
  <c r="J29"/>
  <c r="H31"/>
  <c r="H39"/>
  <c r="H41"/>
  <c r="B48"/>
  <c r="B52" s="1"/>
  <c r="C16"/>
  <c r="E16"/>
  <c r="G16"/>
  <c r="D44" i="19"/>
  <c r="F44"/>
  <c r="G14"/>
  <c r="E14"/>
  <c r="E34" s="1"/>
  <c r="C14"/>
  <c r="C34" s="1"/>
  <c r="G34"/>
  <c r="C44"/>
  <c r="E44"/>
  <c r="G44"/>
  <c r="B14"/>
  <c r="F14"/>
  <c r="F34" s="1"/>
  <c r="D14"/>
  <c r="D34" s="1"/>
  <c r="B44"/>
  <c r="H30"/>
  <c r="H32"/>
  <c r="B34"/>
  <c r="B48"/>
  <c r="B51" s="1"/>
  <c r="H40"/>
  <c r="H42"/>
  <c r="H29"/>
  <c r="J29"/>
  <c r="H31"/>
  <c r="H39"/>
  <c r="H41"/>
  <c r="B48" i="18"/>
  <c r="B51" s="1"/>
  <c r="J29"/>
  <c r="B51" i="11"/>
  <c r="B48"/>
  <c r="B49"/>
  <c r="B16"/>
  <c r="C16"/>
  <c r="B50" i="23" l="1"/>
  <c r="B51" s="1"/>
  <c r="B63" i="27"/>
  <c r="B63" i="26"/>
  <c r="B58" i="27"/>
  <c r="B58" i="26"/>
  <c r="B52" i="27"/>
  <c r="B61"/>
  <c r="B52" i="26"/>
  <c r="B61"/>
  <c r="B63" i="25"/>
  <c r="B59"/>
  <c r="B62"/>
  <c r="B52"/>
  <c r="B52" i="11"/>
  <c r="B64" i="27" l="1"/>
  <c r="B64" i="26"/>
  <c r="B66" i="25"/>
</calcChain>
</file>

<file path=xl/sharedStrings.xml><?xml version="1.0" encoding="utf-8"?>
<sst xmlns="http://schemas.openxmlformats.org/spreadsheetml/2006/main" count="1096" uniqueCount="58">
  <si>
    <t>Breads</t>
  </si>
  <si>
    <t>Pies</t>
  </si>
  <si>
    <t>Doncaster</t>
  </si>
  <si>
    <t>Melbourne CBD</t>
  </si>
  <si>
    <t>Thomastown</t>
  </si>
  <si>
    <t>Hoppers Crossing</t>
  </si>
  <si>
    <t>Prahran</t>
  </si>
  <si>
    <t>Northcote</t>
  </si>
  <si>
    <t>Laverton North</t>
  </si>
  <si>
    <t>Construction Cost</t>
  </si>
  <si>
    <t>Mentone</t>
  </si>
  <si>
    <t>Year 2</t>
  </si>
  <si>
    <t>Year 3</t>
  </si>
  <si>
    <t>Constraint</t>
  </si>
  <si>
    <t>Fixed Cost</t>
  </si>
  <si>
    <t>Plant Cost and Capacity</t>
  </si>
  <si>
    <t>Plant</t>
  </si>
  <si>
    <t>Annual Fixed Cost</t>
  </si>
  <si>
    <t>Vaiable Cost/Unit</t>
  </si>
  <si>
    <t>Daily Capacity</t>
  </si>
  <si>
    <t>Variable Cost/Unit</t>
  </si>
  <si>
    <t>Daily Demand by Product</t>
  </si>
  <si>
    <t>Shop</t>
  </si>
  <si>
    <t>Glen Waverley</t>
  </si>
  <si>
    <t>St.Albans</t>
  </si>
  <si>
    <t>Annual Growth</t>
  </si>
  <si>
    <t>Transportation Cost per Unit</t>
  </si>
  <si>
    <t xml:space="preserve">                      Shop               Plant</t>
  </si>
  <si>
    <t>Legend</t>
  </si>
  <si>
    <t>Input Parameter</t>
  </si>
  <si>
    <t>Daily Production and Distribution of Breads</t>
  </si>
  <si>
    <t xml:space="preserve">                       Shop               Plant</t>
  </si>
  <si>
    <t>Line Open (1) or Close (0)</t>
  </si>
  <si>
    <t>Total Daily Production</t>
  </si>
  <si>
    <t>Excess Capacity</t>
  </si>
  <si>
    <t>Total Daily Supply</t>
  </si>
  <si>
    <t>Unmet Demand</t>
  </si>
  <si>
    <t>Daily Production and Distribution of Pies</t>
  </si>
  <si>
    <t>Annual Cost</t>
  </si>
  <si>
    <t>Variable Cost</t>
  </si>
  <si>
    <t>Decision Variables</t>
  </si>
  <si>
    <t>Transport Cost</t>
  </si>
  <si>
    <t>Cost Item</t>
  </si>
  <si>
    <t>Total Annual Cost</t>
  </si>
  <si>
    <t>Total</t>
  </si>
  <si>
    <t>2) The optimal poduction Plan with repsect to product categories and Year wise (Year 1 to Year 3) for minimizing the annual cost will be as follows.</t>
  </si>
  <si>
    <t>Year 1</t>
  </si>
  <si>
    <t xml:space="preserve">Daily Production and Distribution of Breads  </t>
  </si>
  <si>
    <t xml:space="preserve">Daily Production and Distribution of Breads </t>
  </si>
  <si>
    <t xml:space="preserve">Daily Production and Distribution of Pies </t>
  </si>
  <si>
    <t>1) The company is recommeded to set up a new plant in Laverton North for production of both Breads and Pies besides production plant Mentone for both-Breads and Pies.</t>
  </si>
  <si>
    <t>2) The optimal poduction Plan with repsect to product categories and Year wise (Year 1 to Year 3) for minimizing the annual cost will be as follows (similar to Scenario A)</t>
  </si>
  <si>
    <t>Annual Cost (Breads)</t>
  </si>
  <si>
    <t>Annual Cost (Pies)</t>
  </si>
  <si>
    <t>Annual Cost (Total)</t>
  </si>
  <si>
    <t>1) The company is recommeded to set up a new plant in Laverton North for production of Pies besides production plant Mentone for Breads . A production plan for Pies will be set up in Prahran and Northcote.</t>
  </si>
  <si>
    <t xml:space="preserve">If the market demand is astabilzed at the end of Year 3, given considertaion of machine construction cost, and scrape value, the appropriate action plan of the company will be to to set up a new plant in Laverton North for production of both Breads and Pies besides production plant Mentone for both-Breads and Pies. Relocating to production plan to other will be not be optimal for the company. The cost saving in the  existing  plant  will exceed the salvage value recovered if production and distrubution plan is relocated to other areas. </t>
  </si>
  <si>
    <t xml:space="preserve">Thus after 3 years the optimal production plan of the company will be as follows. </t>
  </si>
</sst>
</file>

<file path=xl/styles.xml><?xml version="1.0" encoding="utf-8"?>
<styleSheet xmlns="http://schemas.openxmlformats.org/spreadsheetml/2006/main">
  <numFmts count="2">
    <numFmt numFmtId="44" formatCode="_(&quot;$&quot;* #,##0.00_);_(&quot;$&quot;* \(#,##0.00\);_(&quot;$&quot;* &quot;-&quot;??_);_(@_)"/>
    <numFmt numFmtId="164" formatCode="&quot;$&quot;#,##0.00"/>
  </numFmts>
  <fonts count="3">
    <font>
      <sz val="11"/>
      <color theme="1"/>
      <name val="Calibri"/>
      <family val="2"/>
      <scheme val="minor"/>
    </font>
    <font>
      <sz val="11"/>
      <color theme="1"/>
      <name val="Calibri"/>
      <family val="2"/>
      <scheme val="minor"/>
    </font>
    <font>
      <b/>
      <sz val="11"/>
      <color theme="1"/>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9" tint="0.39997558519241921"/>
        <bgColor indexed="64"/>
      </patternFill>
    </fill>
    <fill>
      <patternFill patternType="solid">
        <fgColor rgb="FF00B0F0"/>
        <bgColor indexed="64"/>
      </patternFill>
    </fill>
    <fill>
      <patternFill patternType="solid">
        <fgColor theme="5" tint="0.39997558519241921"/>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auto="1"/>
      </diagonal>
    </border>
    <border>
      <left/>
      <right/>
      <top/>
      <bottom style="thin">
        <color indexed="64"/>
      </bottom>
      <diagonal/>
    </border>
    <border diagonalDown="1">
      <left/>
      <right/>
      <top/>
      <bottom/>
      <diagonal style="thin">
        <color auto="1"/>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right style="medium">
        <color indexed="64"/>
      </right>
      <top style="medium">
        <color indexed="64"/>
      </top>
      <bottom/>
      <diagonal/>
    </border>
  </borders>
  <cellStyleXfs count="2">
    <xf numFmtId="0" fontId="0" fillId="0" borderId="0"/>
    <xf numFmtId="44" fontId="1" fillId="0" borderId="0" applyFont="0" applyFill="0" applyBorder="0" applyAlignment="0" applyProtection="0"/>
  </cellStyleXfs>
  <cellXfs count="58">
    <xf numFmtId="0" fontId="0" fillId="0" borderId="0" xfId="0"/>
    <xf numFmtId="0" fontId="0" fillId="2" borderId="0" xfId="0" applyFill="1"/>
    <xf numFmtId="0" fontId="2" fillId="0" borderId="2" xfId="0" applyFont="1" applyBorder="1"/>
    <xf numFmtId="0" fontId="2" fillId="0" borderId="2" xfId="0" applyFont="1" applyBorder="1" applyAlignment="1">
      <alignment horizontal="center" wrapText="1"/>
    </xf>
    <xf numFmtId="0" fontId="0" fillId="0" borderId="2" xfId="0" applyBorder="1"/>
    <xf numFmtId="164" fontId="0" fillId="3" borderId="2" xfId="0" applyNumberFormat="1" applyFill="1" applyBorder="1"/>
    <xf numFmtId="0" fontId="0" fillId="3" borderId="2" xfId="0" applyFill="1" applyBorder="1"/>
    <xf numFmtId="9" fontId="0" fillId="3" borderId="2" xfId="0" applyNumberFormat="1" applyFill="1" applyBorder="1"/>
    <xf numFmtId="0" fontId="2" fillId="0" borderId="3" xfId="0" applyFont="1" applyBorder="1" applyAlignment="1">
      <alignment wrapText="1"/>
    </xf>
    <xf numFmtId="0" fontId="0" fillId="3" borderId="0" xfId="0" applyFill="1"/>
    <xf numFmtId="0" fontId="2" fillId="0" borderId="2" xfId="0" applyFont="1" applyFill="1" applyBorder="1" applyAlignment="1">
      <alignment horizontal="center" wrapText="1"/>
    </xf>
    <xf numFmtId="0" fontId="0" fillId="4" borderId="2" xfId="0" applyFill="1" applyBorder="1"/>
    <xf numFmtId="0" fontId="2" fillId="0" borderId="5" xfId="0" applyFont="1" applyBorder="1" applyAlignment="1">
      <alignment wrapText="1"/>
    </xf>
    <xf numFmtId="0" fontId="0" fillId="4" borderId="0" xfId="0" applyFill="1"/>
    <xf numFmtId="0" fontId="0" fillId="5" borderId="0" xfId="0" applyFill="1"/>
    <xf numFmtId="164" fontId="0" fillId="5" borderId="2" xfId="0" applyNumberFormat="1" applyFill="1" applyBorder="1"/>
    <xf numFmtId="44" fontId="0" fillId="5" borderId="2" xfId="1" applyFont="1" applyFill="1" applyBorder="1"/>
    <xf numFmtId="0" fontId="0" fillId="0" borderId="2" xfId="0" applyBorder="1" applyAlignment="1">
      <alignment horizontal="center"/>
    </xf>
    <xf numFmtId="0" fontId="0" fillId="2" borderId="2" xfId="0" applyFill="1" applyBorder="1" applyAlignment="1">
      <alignment horizontal="center"/>
    </xf>
    <xf numFmtId="0" fontId="0" fillId="4" borderId="2" xfId="0" applyFill="1" applyBorder="1" applyAlignment="1">
      <alignment horizontal="center"/>
    </xf>
    <xf numFmtId="0" fontId="0" fillId="0" borderId="0" xfId="0" applyBorder="1"/>
    <xf numFmtId="0" fontId="0" fillId="0" borderId="0" xfId="0" applyBorder="1" applyAlignment="1">
      <alignment horizontal="center"/>
    </xf>
    <xf numFmtId="0" fontId="0" fillId="0" borderId="2" xfId="0" applyFont="1" applyBorder="1" applyAlignment="1">
      <alignment horizontal="left"/>
    </xf>
    <xf numFmtId="2" fontId="0" fillId="0" borderId="2" xfId="0" applyNumberFormat="1" applyBorder="1" applyAlignment="1">
      <alignment horizontal="center"/>
    </xf>
    <xf numFmtId="1" fontId="0" fillId="2" borderId="2" xfId="0" applyNumberFormat="1" applyFill="1" applyBorder="1" applyAlignment="1">
      <alignment horizontal="center"/>
    </xf>
    <xf numFmtId="1" fontId="0" fillId="0" borderId="2" xfId="0" applyNumberFormat="1" applyBorder="1" applyAlignment="1">
      <alignment horizontal="center"/>
    </xf>
    <xf numFmtId="1" fontId="0" fillId="0" borderId="13" xfId="0" applyNumberFormat="1" applyBorder="1" applyAlignment="1">
      <alignment horizontal="center"/>
    </xf>
    <xf numFmtId="2" fontId="0" fillId="5" borderId="2" xfId="0" applyNumberFormat="1" applyFont="1" applyFill="1" applyBorder="1" applyAlignment="1">
      <alignment horizontal="right"/>
    </xf>
    <xf numFmtId="1" fontId="0" fillId="4" borderId="2" xfId="0" applyNumberFormat="1" applyFill="1" applyBorder="1" applyAlignment="1">
      <alignment horizontal="center"/>
    </xf>
    <xf numFmtId="0" fontId="0" fillId="3" borderId="2" xfId="0" applyFill="1" applyBorder="1" applyAlignment="1">
      <alignment horizontal="center"/>
    </xf>
    <xf numFmtId="1" fontId="0" fillId="3" borderId="2" xfId="0" applyNumberFormat="1" applyFill="1" applyBorder="1" applyAlignment="1">
      <alignment horizontal="center"/>
    </xf>
    <xf numFmtId="0" fontId="0" fillId="0" borderId="7" xfId="0" applyBorder="1"/>
    <xf numFmtId="0" fontId="0" fillId="0" borderId="15" xfId="0" applyBorder="1"/>
    <xf numFmtId="0" fontId="0" fillId="0" borderId="9" xfId="0" applyBorder="1"/>
    <xf numFmtId="0" fontId="0" fillId="0" borderId="10" xfId="0" applyBorder="1"/>
    <xf numFmtId="0" fontId="0" fillId="0" borderId="11" xfId="0" applyBorder="1"/>
    <xf numFmtId="0" fontId="0" fillId="0" borderId="12" xfId="0" applyBorder="1"/>
    <xf numFmtId="0" fontId="2" fillId="0" borderId="3" xfId="0" applyFont="1" applyBorder="1" applyAlignment="1">
      <alignment vertical="center" wrapText="1"/>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5" xfId="0" applyFont="1" applyBorder="1" applyAlignment="1">
      <alignment vertical="center" wrapText="1"/>
    </xf>
    <xf numFmtId="0" fontId="2" fillId="0" borderId="4" xfId="0" applyFont="1" applyBorder="1" applyAlignment="1">
      <alignment horizontal="center"/>
    </xf>
    <xf numFmtId="0" fontId="2" fillId="0" borderId="0" xfId="0" applyFont="1" applyAlignment="1">
      <alignment horizontal="center"/>
    </xf>
    <xf numFmtId="0" fontId="2" fillId="0" borderId="1" xfId="0" applyFont="1" applyBorder="1" applyAlignment="1">
      <alignment horizontal="center"/>
    </xf>
    <xf numFmtId="0" fontId="2" fillId="0" borderId="0" xfId="0" applyFont="1" applyBorder="1" applyAlignment="1">
      <alignment horizontal="center"/>
    </xf>
    <xf numFmtId="0" fontId="2" fillId="0" borderId="6" xfId="0" applyFont="1" applyBorder="1" applyAlignment="1">
      <alignment horizontal="center" vertical="center"/>
    </xf>
    <xf numFmtId="0" fontId="0" fillId="0" borderId="8" xfId="0" applyBorder="1" applyAlignment="1">
      <alignment horizontal="center" vertical="center"/>
    </xf>
    <xf numFmtId="0" fontId="2" fillId="0" borderId="14" xfId="0" applyFont="1" applyBorder="1" applyAlignment="1">
      <alignment horizontal="center"/>
    </xf>
    <xf numFmtId="0" fontId="2" fillId="0" borderId="4" xfId="0" applyFont="1" applyBorder="1" applyAlignment="1">
      <alignment horizontal="left"/>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15" xfId="0" applyBorder="1" applyAlignment="1">
      <alignment horizontal="left" vertical="top" wrapText="1"/>
    </xf>
    <xf numFmtId="0" fontId="0" fillId="0" borderId="8" xfId="0" applyBorder="1" applyAlignment="1">
      <alignment horizontal="left" vertical="top" wrapText="1"/>
    </xf>
    <xf numFmtId="0" fontId="0" fillId="0" borderId="0" xfId="0" applyBorder="1" applyAlignment="1">
      <alignment horizontal="left" vertical="top" wrapText="1"/>
    </xf>
    <xf numFmtId="0" fontId="0" fillId="0" borderId="9" xfId="0" applyBorder="1" applyAlignment="1">
      <alignment horizontal="left" vertical="top" wrapText="1"/>
    </xf>
    <xf numFmtId="0" fontId="0" fillId="0" borderId="10" xfId="0" applyBorder="1" applyAlignment="1">
      <alignment horizontal="left" vertical="top" wrapText="1"/>
    </xf>
    <xf numFmtId="0" fontId="0" fillId="0" borderId="11" xfId="0" applyBorder="1" applyAlignment="1">
      <alignment horizontal="left" vertical="top" wrapText="1"/>
    </xf>
    <xf numFmtId="0" fontId="0" fillId="0" borderId="12" xfId="0" applyBorder="1" applyAlignment="1">
      <alignment horizontal="left" vertical="top"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dimension ref="A3:J52"/>
  <sheetViews>
    <sheetView topLeftCell="B19" workbookViewId="0">
      <selection activeCell="B40" sqref="B40:G43"/>
    </sheetView>
  </sheetViews>
  <sheetFormatPr defaultRowHeight="15"/>
  <cols>
    <col min="1" max="1" width="18.140625" customWidth="1"/>
    <col min="2" max="2" width="14.140625" customWidth="1"/>
    <col min="3" max="7" width="12.7109375" customWidth="1"/>
    <col min="8" max="8" width="14.140625" customWidth="1"/>
    <col min="9" max="9" width="13.7109375" customWidth="1"/>
  </cols>
  <sheetData>
    <row r="3" spans="1:7">
      <c r="B3" s="42" t="s">
        <v>15</v>
      </c>
      <c r="C3" s="42"/>
      <c r="D3" s="42"/>
      <c r="E3" s="42"/>
      <c r="F3" s="42"/>
      <c r="G3" s="42"/>
    </row>
    <row r="4" spans="1:7">
      <c r="B4" s="43" t="s">
        <v>0</v>
      </c>
      <c r="C4" s="43"/>
      <c r="D4" s="43"/>
      <c r="E4" s="43" t="s">
        <v>1</v>
      </c>
      <c r="F4" s="43"/>
      <c r="G4" s="43"/>
    </row>
    <row r="5" spans="1:7" ht="30">
      <c r="A5" s="2" t="s">
        <v>16</v>
      </c>
      <c r="B5" s="3" t="s">
        <v>17</v>
      </c>
      <c r="C5" s="3" t="s">
        <v>18</v>
      </c>
      <c r="D5" s="3" t="s">
        <v>19</v>
      </c>
      <c r="E5" s="3" t="s">
        <v>17</v>
      </c>
      <c r="F5" s="3" t="s">
        <v>20</v>
      </c>
      <c r="G5" s="3" t="s">
        <v>19</v>
      </c>
    </row>
    <row r="6" spans="1:7">
      <c r="A6" s="4" t="s">
        <v>10</v>
      </c>
      <c r="B6" s="5">
        <v>200000</v>
      </c>
      <c r="C6" s="5">
        <v>0.3</v>
      </c>
      <c r="D6" s="6">
        <v>6000</v>
      </c>
      <c r="E6" s="5">
        <v>300000</v>
      </c>
      <c r="F6" s="5">
        <v>0.5</v>
      </c>
      <c r="G6" s="6">
        <v>4000</v>
      </c>
    </row>
    <row r="7" spans="1:7">
      <c r="A7" s="4" t="s">
        <v>6</v>
      </c>
      <c r="B7" s="5">
        <v>220000</v>
      </c>
      <c r="C7" s="5">
        <v>0.25</v>
      </c>
      <c r="D7" s="6">
        <v>6000</v>
      </c>
      <c r="E7" s="5">
        <v>300000</v>
      </c>
      <c r="F7" s="5">
        <v>0.45</v>
      </c>
      <c r="G7" s="6">
        <v>4500</v>
      </c>
    </row>
    <row r="8" spans="1:7">
      <c r="A8" s="4" t="s">
        <v>7</v>
      </c>
      <c r="B8" s="5">
        <v>240000</v>
      </c>
      <c r="C8" s="5">
        <v>0.25</v>
      </c>
      <c r="D8" s="6">
        <v>7000</v>
      </c>
      <c r="E8" s="5">
        <v>320000</v>
      </c>
      <c r="F8" s="5">
        <v>0.45</v>
      </c>
      <c r="G8" s="6">
        <v>5200</v>
      </c>
    </row>
    <row r="9" spans="1:7">
      <c r="A9" s="4" t="s">
        <v>8</v>
      </c>
      <c r="B9" s="5">
        <v>240000</v>
      </c>
      <c r="C9" s="5">
        <v>0.25</v>
      </c>
      <c r="D9" s="6">
        <v>7500</v>
      </c>
      <c r="E9" s="5">
        <v>320000</v>
      </c>
      <c r="F9" s="5">
        <v>0.45</v>
      </c>
      <c r="G9" s="6">
        <v>5500</v>
      </c>
    </row>
    <row r="12" spans="1:7">
      <c r="B12" s="42" t="s">
        <v>21</v>
      </c>
      <c r="C12" s="42"/>
      <c r="D12" s="42"/>
      <c r="E12" s="42"/>
      <c r="F12" s="42"/>
      <c r="G12" s="42"/>
    </row>
    <row r="13" spans="1:7" ht="30">
      <c r="A13" s="2" t="s">
        <v>22</v>
      </c>
      <c r="B13" s="3" t="s">
        <v>23</v>
      </c>
      <c r="C13" s="3" t="s">
        <v>2</v>
      </c>
      <c r="D13" s="3" t="s">
        <v>3</v>
      </c>
      <c r="E13" s="3" t="s">
        <v>4</v>
      </c>
      <c r="F13" s="3" t="s">
        <v>24</v>
      </c>
      <c r="G13" s="3" t="s">
        <v>5</v>
      </c>
    </row>
    <row r="14" spans="1:7">
      <c r="A14" s="4" t="s">
        <v>0</v>
      </c>
      <c r="B14" s="6">
        <v>700</v>
      </c>
      <c r="C14" s="6">
        <v>1000</v>
      </c>
      <c r="D14" s="6">
        <v>1500</v>
      </c>
      <c r="E14" s="6">
        <v>500</v>
      </c>
      <c r="F14" s="6">
        <v>800</v>
      </c>
      <c r="G14" s="6">
        <v>1000</v>
      </c>
    </row>
    <row r="15" spans="1:7">
      <c r="A15" s="4" t="s">
        <v>1</v>
      </c>
      <c r="B15" s="6">
        <v>400</v>
      </c>
      <c r="C15" s="6">
        <v>700</v>
      </c>
      <c r="D15" s="6">
        <v>1000</v>
      </c>
      <c r="E15" s="6">
        <v>300</v>
      </c>
      <c r="F15" s="6">
        <v>450</v>
      </c>
      <c r="G15" s="6">
        <v>750</v>
      </c>
    </row>
    <row r="16" spans="1:7">
      <c r="A16" s="4" t="s">
        <v>44</v>
      </c>
      <c r="B16" s="6">
        <f>SUM(B14:B15)</f>
        <v>1100</v>
      </c>
      <c r="C16" s="6">
        <f t="shared" ref="C16:G16" si="0">SUM(C14:C15)</f>
        <v>1700</v>
      </c>
      <c r="D16" s="6">
        <f t="shared" si="0"/>
        <v>2500</v>
      </c>
      <c r="E16" s="6">
        <f t="shared" si="0"/>
        <v>800</v>
      </c>
      <c r="F16" s="6">
        <f t="shared" si="0"/>
        <v>1250</v>
      </c>
      <c r="G16" s="6">
        <f t="shared" si="0"/>
        <v>1750</v>
      </c>
    </row>
    <row r="17" spans="1:10">
      <c r="A17" s="4" t="s">
        <v>25</v>
      </c>
      <c r="B17" s="7">
        <v>0.15</v>
      </c>
      <c r="C17" s="7">
        <v>0.12</v>
      </c>
      <c r="D17" s="7">
        <v>0.2</v>
      </c>
      <c r="E17" s="7">
        <v>0.18</v>
      </c>
      <c r="F17" s="7">
        <v>0.15</v>
      </c>
      <c r="G17" s="7">
        <v>0.12</v>
      </c>
    </row>
    <row r="20" spans="1:10">
      <c r="B20" s="44" t="s">
        <v>26</v>
      </c>
      <c r="C20" s="44"/>
      <c r="D20" s="44"/>
      <c r="E20" s="44"/>
      <c r="F20" s="44"/>
      <c r="G20" s="44"/>
    </row>
    <row r="21" spans="1:10" ht="31.5" customHeight="1">
      <c r="A21" s="8" t="s">
        <v>27</v>
      </c>
      <c r="B21" s="3" t="s">
        <v>23</v>
      </c>
      <c r="C21" s="3" t="s">
        <v>2</v>
      </c>
      <c r="D21" s="3" t="s">
        <v>3</v>
      </c>
      <c r="E21" s="3" t="s">
        <v>4</v>
      </c>
      <c r="F21" s="3" t="s">
        <v>24</v>
      </c>
      <c r="G21" s="3" t="s">
        <v>5</v>
      </c>
    </row>
    <row r="22" spans="1:10">
      <c r="A22" s="4" t="s">
        <v>10</v>
      </c>
      <c r="B22" s="5">
        <v>0.1</v>
      </c>
      <c r="C22" s="5">
        <v>0.12</v>
      </c>
      <c r="D22" s="5">
        <v>0.11</v>
      </c>
      <c r="E22" s="5">
        <v>0.2</v>
      </c>
      <c r="F22" s="5">
        <v>0.22</v>
      </c>
      <c r="G22" s="5">
        <v>0.24</v>
      </c>
    </row>
    <row r="23" spans="1:10">
      <c r="A23" s="4" t="s">
        <v>6</v>
      </c>
      <c r="B23" s="5">
        <v>0.1</v>
      </c>
      <c r="C23" s="5">
        <v>0.12</v>
      </c>
      <c r="D23" s="5">
        <v>0.04</v>
      </c>
      <c r="E23" s="5">
        <v>0.12</v>
      </c>
      <c r="F23" s="5">
        <v>0.15</v>
      </c>
      <c r="G23" s="5">
        <v>0.17</v>
      </c>
    </row>
    <row r="24" spans="1:10">
      <c r="A24" s="4" t="s">
        <v>7</v>
      </c>
      <c r="B24" s="5">
        <v>0.18</v>
      </c>
      <c r="C24" s="5">
        <v>0.16</v>
      </c>
      <c r="D24" s="5">
        <v>0.05</v>
      </c>
      <c r="E24" s="5">
        <v>0.04</v>
      </c>
      <c r="F24" s="5">
        <v>0.1</v>
      </c>
      <c r="G24" s="5">
        <v>0.11</v>
      </c>
      <c r="I24" t="s">
        <v>28</v>
      </c>
    </row>
    <row r="25" spans="1:10">
      <c r="A25" s="4" t="s">
        <v>8</v>
      </c>
      <c r="B25" s="5">
        <v>0.22</v>
      </c>
      <c r="C25" s="5">
        <v>0.24</v>
      </c>
      <c r="D25" s="5">
        <v>0.1</v>
      </c>
      <c r="E25" s="5">
        <v>0.13</v>
      </c>
      <c r="F25" s="5">
        <v>0.04</v>
      </c>
      <c r="G25" s="5">
        <v>0.05</v>
      </c>
      <c r="I25" s="9"/>
      <c r="J25" t="s">
        <v>29</v>
      </c>
    </row>
    <row r="28" spans="1:10">
      <c r="B28" s="41" t="s">
        <v>30</v>
      </c>
      <c r="C28" s="41"/>
      <c r="D28" s="41"/>
      <c r="E28" s="41"/>
      <c r="F28" s="41"/>
      <c r="G28" s="41"/>
      <c r="H28" s="41"/>
    </row>
    <row r="29" spans="1:10" ht="30">
      <c r="A29" s="8" t="s">
        <v>31</v>
      </c>
      <c r="B29" s="3" t="s">
        <v>23</v>
      </c>
      <c r="C29" s="3" t="s">
        <v>2</v>
      </c>
      <c r="D29" s="3" t="s">
        <v>3</v>
      </c>
      <c r="E29" s="3" t="s">
        <v>4</v>
      </c>
      <c r="F29" s="3" t="s">
        <v>24</v>
      </c>
      <c r="G29" s="3" t="s">
        <v>5</v>
      </c>
      <c r="H29" s="10" t="s">
        <v>32</v>
      </c>
      <c r="I29" s="10" t="s">
        <v>33</v>
      </c>
      <c r="J29" s="10" t="s">
        <v>34</v>
      </c>
    </row>
    <row r="30" spans="1:10">
      <c r="A30" s="4" t="s">
        <v>10</v>
      </c>
      <c r="B30" s="18">
        <v>700</v>
      </c>
      <c r="C30" s="18">
        <v>1000</v>
      </c>
      <c r="D30" s="18">
        <v>1500</v>
      </c>
      <c r="E30" s="18">
        <v>500</v>
      </c>
      <c r="F30" s="18">
        <v>800</v>
      </c>
      <c r="G30" s="18">
        <v>1000</v>
      </c>
      <c r="H30" s="18">
        <v>1</v>
      </c>
      <c r="I30" s="17">
        <f>SUM(B30:G30)</f>
        <v>5500</v>
      </c>
      <c r="J30" s="19">
        <f>6000-I30</f>
        <v>500</v>
      </c>
    </row>
    <row r="31" spans="1:10">
      <c r="A31" s="4" t="s">
        <v>6</v>
      </c>
      <c r="B31" s="18">
        <v>0</v>
      </c>
      <c r="C31" s="18">
        <v>0</v>
      </c>
      <c r="D31" s="18">
        <v>0</v>
      </c>
      <c r="E31" s="18">
        <v>0</v>
      </c>
      <c r="F31" s="18">
        <v>0</v>
      </c>
      <c r="G31" s="18">
        <v>0</v>
      </c>
      <c r="H31" s="18">
        <v>0</v>
      </c>
      <c r="I31" s="17"/>
      <c r="J31" s="19">
        <v>0</v>
      </c>
    </row>
    <row r="32" spans="1:10">
      <c r="A32" s="4" t="s">
        <v>7</v>
      </c>
      <c r="B32" s="18">
        <v>0</v>
      </c>
      <c r="C32" s="18">
        <v>0</v>
      </c>
      <c r="D32" s="18">
        <v>0</v>
      </c>
      <c r="E32" s="18">
        <v>0</v>
      </c>
      <c r="F32" s="18">
        <v>0</v>
      </c>
      <c r="G32" s="18">
        <v>0</v>
      </c>
      <c r="H32" s="18">
        <v>0</v>
      </c>
      <c r="I32" s="17"/>
      <c r="J32" s="19">
        <v>0</v>
      </c>
    </row>
    <row r="33" spans="1:10">
      <c r="A33" s="4" t="s">
        <v>8</v>
      </c>
      <c r="B33" s="18">
        <v>0</v>
      </c>
      <c r="C33" s="18">
        <v>0</v>
      </c>
      <c r="D33" s="18">
        <v>0</v>
      </c>
      <c r="E33" s="18">
        <v>0</v>
      </c>
      <c r="F33" s="18">
        <v>0</v>
      </c>
      <c r="G33" s="18">
        <v>0</v>
      </c>
      <c r="H33" s="18">
        <v>0</v>
      </c>
      <c r="I33" s="17"/>
      <c r="J33" s="19">
        <v>0</v>
      </c>
    </row>
    <row r="34" spans="1:10">
      <c r="A34" s="4" t="s">
        <v>35</v>
      </c>
      <c r="B34" s="4"/>
      <c r="C34" s="4"/>
      <c r="D34" s="4"/>
      <c r="E34" s="4"/>
      <c r="F34" s="4"/>
      <c r="G34" s="4"/>
    </row>
    <row r="35" spans="1:10">
      <c r="A35" s="4" t="s">
        <v>36</v>
      </c>
      <c r="B35" s="11"/>
      <c r="C35" s="11"/>
      <c r="D35" s="11"/>
      <c r="E35" s="11"/>
      <c r="F35" s="11"/>
      <c r="G35" s="11"/>
    </row>
    <row r="38" spans="1:10">
      <c r="B38" s="41" t="s">
        <v>37</v>
      </c>
      <c r="C38" s="41"/>
      <c r="D38" s="41"/>
      <c r="E38" s="41"/>
      <c r="F38" s="41"/>
      <c r="G38" s="41"/>
      <c r="H38" s="41"/>
    </row>
    <row r="39" spans="1:10" ht="30">
      <c r="A39" s="12" t="s">
        <v>31</v>
      </c>
      <c r="B39" s="3" t="s">
        <v>23</v>
      </c>
      <c r="C39" s="3" t="s">
        <v>2</v>
      </c>
      <c r="D39" s="3" t="s">
        <v>3</v>
      </c>
      <c r="E39" s="3" t="s">
        <v>4</v>
      </c>
      <c r="F39" s="3" t="s">
        <v>24</v>
      </c>
      <c r="G39" s="3" t="s">
        <v>5</v>
      </c>
      <c r="H39" s="10" t="s">
        <v>32</v>
      </c>
      <c r="I39" s="10" t="s">
        <v>33</v>
      </c>
      <c r="J39" s="10" t="s">
        <v>34</v>
      </c>
    </row>
    <row r="40" spans="1:10">
      <c r="A40" t="s">
        <v>10</v>
      </c>
      <c r="B40" s="18">
        <v>400</v>
      </c>
      <c r="C40" s="18">
        <v>700</v>
      </c>
      <c r="D40" s="18">
        <v>1000</v>
      </c>
      <c r="E40" s="18">
        <v>300</v>
      </c>
      <c r="F40" s="18">
        <v>450</v>
      </c>
      <c r="G40" s="18">
        <v>750</v>
      </c>
      <c r="H40" s="18">
        <v>1</v>
      </c>
      <c r="I40" s="17">
        <f>SUM(B40:G40)</f>
        <v>3600</v>
      </c>
      <c r="J40" s="19">
        <f>4000-I40</f>
        <v>400</v>
      </c>
    </row>
    <row r="41" spans="1:10">
      <c r="A41" t="s">
        <v>6</v>
      </c>
      <c r="B41" s="18">
        <v>0</v>
      </c>
      <c r="C41" s="18">
        <v>0</v>
      </c>
      <c r="D41" s="18">
        <v>0</v>
      </c>
      <c r="E41" s="18">
        <v>0</v>
      </c>
      <c r="F41" s="18">
        <v>0</v>
      </c>
      <c r="G41" s="18">
        <v>0</v>
      </c>
      <c r="H41" s="18">
        <v>0</v>
      </c>
      <c r="I41" s="17"/>
      <c r="J41" s="19">
        <v>0</v>
      </c>
    </row>
    <row r="42" spans="1:10">
      <c r="A42" t="s">
        <v>7</v>
      </c>
      <c r="B42" s="18">
        <v>0</v>
      </c>
      <c r="C42" s="18">
        <v>0</v>
      </c>
      <c r="D42" s="18">
        <v>0</v>
      </c>
      <c r="E42" s="18">
        <v>0</v>
      </c>
      <c r="F42" s="18">
        <v>0</v>
      </c>
      <c r="G42" s="18">
        <v>0</v>
      </c>
      <c r="H42" s="18">
        <v>0</v>
      </c>
      <c r="I42" s="17"/>
      <c r="J42" s="19">
        <v>0</v>
      </c>
    </row>
    <row r="43" spans="1:10">
      <c r="A43" t="s">
        <v>8</v>
      </c>
      <c r="B43" s="18">
        <v>0</v>
      </c>
      <c r="C43" s="18">
        <v>0</v>
      </c>
      <c r="D43" s="18">
        <v>0</v>
      </c>
      <c r="E43" s="18">
        <v>0</v>
      </c>
      <c r="F43" s="18">
        <v>0</v>
      </c>
      <c r="G43" s="18">
        <v>0</v>
      </c>
      <c r="H43" s="18">
        <v>0</v>
      </c>
      <c r="I43" s="17"/>
      <c r="J43" s="19">
        <v>0</v>
      </c>
    </row>
    <row r="44" spans="1:10">
      <c r="A44" t="s">
        <v>35</v>
      </c>
      <c r="B44" s="4"/>
      <c r="C44" s="4"/>
      <c r="D44" s="4"/>
      <c r="E44" s="4"/>
      <c r="F44" s="4"/>
      <c r="G44" s="4"/>
    </row>
    <row r="45" spans="1:10">
      <c r="A45" t="s">
        <v>36</v>
      </c>
      <c r="B45" s="11"/>
      <c r="C45" s="11"/>
      <c r="D45" s="11"/>
      <c r="E45" s="11"/>
      <c r="F45" s="11"/>
      <c r="G45" s="11"/>
    </row>
    <row r="48" spans="1:10">
      <c r="A48" s="42" t="s">
        <v>38</v>
      </c>
      <c r="B48" s="42"/>
    </row>
    <row r="49" spans="1:5">
      <c r="A49" s="4" t="s">
        <v>14</v>
      </c>
      <c r="B49" s="15">
        <f>B6+E6</f>
        <v>500000</v>
      </c>
      <c r="D49" t="s">
        <v>28</v>
      </c>
    </row>
    <row r="50" spans="1:5">
      <c r="A50" s="4" t="s">
        <v>39</v>
      </c>
      <c r="B50" s="16">
        <f>(SUM(B14:G14)*C6+SUM(B15:G15)*F6)*360</f>
        <v>1242000</v>
      </c>
      <c r="D50" s="1"/>
      <c r="E50" t="s">
        <v>40</v>
      </c>
    </row>
    <row r="51" spans="1:5">
      <c r="A51" s="4" t="s">
        <v>41</v>
      </c>
      <c r="B51" s="15">
        <f>SUMPRODUCT(B22:G22,B16:G16)*360</f>
        <v>519840</v>
      </c>
      <c r="D51" s="13"/>
      <c r="E51" t="s">
        <v>13</v>
      </c>
    </row>
    <row r="52" spans="1:5">
      <c r="A52" s="4" t="s">
        <v>43</v>
      </c>
      <c r="B52" s="15">
        <f>SUM(B49:B51)</f>
        <v>2261840</v>
      </c>
      <c r="D52" s="14"/>
      <c r="E52" t="s">
        <v>42</v>
      </c>
    </row>
  </sheetData>
  <mergeCells count="8">
    <mergeCell ref="B38:H38"/>
    <mergeCell ref="A48:B48"/>
    <mergeCell ref="B3:G3"/>
    <mergeCell ref="B4:D4"/>
    <mergeCell ref="E4:G4"/>
    <mergeCell ref="B12:G12"/>
    <mergeCell ref="B20:G20"/>
    <mergeCell ref="B28:H28"/>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3:J52"/>
  <sheetViews>
    <sheetView topLeftCell="A17" workbookViewId="0">
      <selection activeCell="A17" sqref="A1:XFD1048576"/>
    </sheetView>
  </sheetViews>
  <sheetFormatPr defaultRowHeight="15"/>
  <cols>
    <col min="1" max="1" width="18.140625" customWidth="1"/>
    <col min="2" max="2" width="17.7109375" customWidth="1"/>
    <col min="3" max="7" width="12.7109375" customWidth="1"/>
    <col min="8" max="8" width="14.140625" customWidth="1"/>
    <col min="9" max="9" width="13.7109375" customWidth="1"/>
  </cols>
  <sheetData>
    <row r="3" spans="1:7">
      <c r="B3" s="42" t="s">
        <v>15</v>
      </c>
      <c r="C3" s="42"/>
      <c r="D3" s="42"/>
      <c r="E3" s="42"/>
      <c r="F3" s="42"/>
      <c r="G3" s="42"/>
    </row>
    <row r="4" spans="1:7">
      <c r="B4" s="43" t="s">
        <v>0</v>
      </c>
      <c r="C4" s="43"/>
      <c r="D4" s="43"/>
      <c r="E4" s="43" t="s">
        <v>1</v>
      </c>
      <c r="F4" s="43"/>
      <c r="G4" s="43"/>
    </row>
    <row r="5" spans="1:7" ht="30">
      <c r="A5" s="2" t="s">
        <v>16</v>
      </c>
      <c r="B5" s="3" t="s">
        <v>17</v>
      </c>
      <c r="C5" s="3" t="s">
        <v>18</v>
      </c>
      <c r="D5" s="3" t="s">
        <v>19</v>
      </c>
      <c r="E5" s="3" t="s">
        <v>17</v>
      </c>
      <c r="F5" s="3" t="s">
        <v>20</v>
      </c>
      <c r="G5" s="3" t="s">
        <v>19</v>
      </c>
    </row>
    <row r="6" spans="1:7">
      <c r="A6" s="4" t="s">
        <v>10</v>
      </c>
      <c r="B6" s="5">
        <v>200000</v>
      </c>
      <c r="C6" s="5">
        <v>0.3</v>
      </c>
      <c r="D6" s="6">
        <v>6000</v>
      </c>
      <c r="E6" s="5">
        <v>300000</v>
      </c>
      <c r="F6" s="5">
        <v>0.5</v>
      </c>
      <c r="G6" s="6">
        <v>4000</v>
      </c>
    </row>
    <row r="7" spans="1:7">
      <c r="A7" s="4" t="s">
        <v>6</v>
      </c>
      <c r="B7" s="5">
        <v>220000</v>
      </c>
      <c r="C7" s="5">
        <v>0.25</v>
      </c>
      <c r="D7" s="6">
        <v>6000</v>
      </c>
      <c r="E7" s="5">
        <v>300000</v>
      </c>
      <c r="F7" s="5">
        <v>0.45</v>
      </c>
      <c r="G7" s="6">
        <v>4500</v>
      </c>
    </row>
    <row r="8" spans="1:7">
      <c r="A8" s="4" t="s">
        <v>7</v>
      </c>
      <c r="B8" s="5">
        <v>240000</v>
      </c>
      <c r="C8" s="5">
        <v>0.25</v>
      </c>
      <c r="D8" s="6">
        <v>7000</v>
      </c>
      <c r="E8" s="5">
        <v>320000</v>
      </c>
      <c r="F8" s="5">
        <v>0.45</v>
      </c>
      <c r="G8" s="6">
        <v>5200</v>
      </c>
    </row>
    <row r="9" spans="1:7">
      <c r="A9" s="4" t="s">
        <v>8</v>
      </c>
      <c r="B9" s="5">
        <v>240000</v>
      </c>
      <c r="C9" s="5">
        <v>0.25</v>
      </c>
      <c r="D9" s="6">
        <v>7500</v>
      </c>
      <c r="E9" s="5">
        <v>320000</v>
      </c>
      <c r="F9" s="5">
        <v>0.45</v>
      </c>
      <c r="G9" s="6">
        <v>5500</v>
      </c>
    </row>
    <row r="12" spans="1:7">
      <c r="B12" s="42" t="s">
        <v>21</v>
      </c>
      <c r="C12" s="42"/>
      <c r="D12" s="42"/>
      <c r="E12" s="42"/>
      <c r="F12" s="42"/>
      <c r="G12" s="42"/>
    </row>
    <row r="13" spans="1:7" ht="30">
      <c r="A13" s="2" t="s">
        <v>22</v>
      </c>
      <c r="B13" s="3" t="s">
        <v>23</v>
      </c>
      <c r="C13" s="3" t="s">
        <v>2</v>
      </c>
      <c r="D13" s="3" t="s">
        <v>3</v>
      </c>
      <c r="E13" s="3" t="s">
        <v>4</v>
      </c>
      <c r="F13" s="3" t="s">
        <v>24</v>
      </c>
      <c r="G13" s="3" t="s">
        <v>5</v>
      </c>
    </row>
    <row r="14" spans="1:7">
      <c r="A14" s="4" t="s">
        <v>0</v>
      </c>
      <c r="B14" s="29">
        <f>700*1.15</f>
        <v>804.99999999999989</v>
      </c>
      <c r="C14" s="29">
        <f>1000*1.12</f>
        <v>1120</v>
      </c>
      <c r="D14" s="29">
        <f>1500*1.2</f>
        <v>1800</v>
      </c>
      <c r="E14" s="29">
        <f>500*1.18</f>
        <v>590</v>
      </c>
      <c r="F14" s="29">
        <f>800*1.15</f>
        <v>919.99999999999989</v>
      </c>
      <c r="G14" s="29">
        <f>1000*1.12</f>
        <v>1120</v>
      </c>
    </row>
    <row r="15" spans="1:7">
      <c r="A15" s="4" t="s">
        <v>1</v>
      </c>
      <c r="B15" s="29">
        <f>400*1.15</f>
        <v>459.99999999999994</v>
      </c>
      <c r="C15" s="29">
        <f>700*1.12</f>
        <v>784.00000000000011</v>
      </c>
      <c r="D15" s="29">
        <f>1000*1.2</f>
        <v>1200</v>
      </c>
      <c r="E15" s="29">
        <f>300*1.18</f>
        <v>354</v>
      </c>
      <c r="F15" s="30">
        <f>450*1.15</f>
        <v>517.5</v>
      </c>
      <c r="G15" s="29">
        <f>750*1.12</f>
        <v>840.00000000000011</v>
      </c>
    </row>
    <row r="16" spans="1:7">
      <c r="A16" s="4" t="s">
        <v>44</v>
      </c>
      <c r="B16" s="29">
        <f>SUM(B14:B15)</f>
        <v>1264.9999999999998</v>
      </c>
      <c r="C16" s="29">
        <f t="shared" ref="C16:G16" si="0">SUM(C14:C15)</f>
        <v>1904</v>
      </c>
      <c r="D16" s="29">
        <f t="shared" si="0"/>
        <v>3000</v>
      </c>
      <c r="E16" s="29">
        <f t="shared" si="0"/>
        <v>944</v>
      </c>
      <c r="F16" s="30">
        <f t="shared" si="0"/>
        <v>1437.5</v>
      </c>
      <c r="G16" s="29">
        <f t="shared" si="0"/>
        <v>1960</v>
      </c>
    </row>
    <row r="19" spans="1:10">
      <c r="B19" s="44" t="s">
        <v>26</v>
      </c>
      <c r="C19" s="44"/>
      <c r="D19" s="44"/>
      <c r="E19" s="44"/>
      <c r="F19" s="44"/>
      <c r="G19" s="44"/>
    </row>
    <row r="20" spans="1:10" ht="31.5" customHeight="1">
      <c r="A20" s="8" t="s">
        <v>27</v>
      </c>
      <c r="B20" s="3" t="s">
        <v>23</v>
      </c>
      <c r="C20" s="3" t="s">
        <v>2</v>
      </c>
      <c r="D20" s="3" t="s">
        <v>3</v>
      </c>
      <c r="E20" s="3" t="s">
        <v>4</v>
      </c>
      <c r="F20" s="3" t="s">
        <v>24</v>
      </c>
      <c r="G20" s="3" t="s">
        <v>5</v>
      </c>
    </row>
    <row r="21" spans="1:10">
      <c r="A21" s="4" t="s">
        <v>10</v>
      </c>
      <c r="B21" s="5">
        <f>0.1*1.15</f>
        <v>0.11499999999999999</v>
      </c>
      <c r="C21" s="5">
        <f>0.12*1.15</f>
        <v>0.13799999999999998</v>
      </c>
      <c r="D21" s="5">
        <f>0.11*1.15</f>
        <v>0.1265</v>
      </c>
      <c r="E21" s="5">
        <f>0.2*1.15</f>
        <v>0.22999999999999998</v>
      </c>
      <c r="F21" s="5">
        <f>0.22*1.15</f>
        <v>0.253</v>
      </c>
      <c r="G21" s="5">
        <f>0.24*1.15</f>
        <v>0.27599999999999997</v>
      </c>
    </row>
    <row r="22" spans="1:10">
      <c r="A22" s="4" t="s">
        <v>6</v>
      </c>
      <c r="B22" s="5">
        <f>0.1*1.15</f>
        <v>0.11499999999999999</v>
      </c>
      <c r="C22" s="5">
        <f>0.12*1.15</f>
        <v>0.13799999999999998</v>
      </c>
      <c r="D22" s="5">
        <f>0.04*1.15</f>
        <v>4.5999999999999999E-2</v>
      </c>
      <c r="E22" s="5">
        <f>0.12*1.15</f>
        <v>0.13799999999999998</v>
      </c>
      <c r="F22" s="5">
        <f>0.15*1.15</f>
        <v>0.17249999999999999</v>
      </c>
      <c r="G22" s="5">
        <f>0.17*1.15</f>
        <v>0.19550000000000001</v>
      </c>
    </row>
    <row r="23" spans="1:10">
      <c r="A23" s="4" t="s">
        <v>7</v>
      </c>
      <c r="B23" s="5">
        <f>0.18*1.15</f>
        <v>0.20699999999999999</v>
      </c>
      <c r="C23" s="5">
        <f>0.16*1.15</f>
        <v>0.184</v>
      </c>
      <c r="D23" s="5">
        <f>0.05*1.15</f>
        <v>5.7499999999999996E-2</v>
      </c>
      <c r="E23" s="5">
        <f>0.04*1.15</f>
        <v>4.5999999999999999E-2</v>
      </c>
      <c r="F23" s="5">
        <f>0.1*1.15</f>
        <v>0.11499999999999999</v>
      </c>
      <c r="G23" s="5">
        <f>0.11*1.15</f>
        <v>0.1265</v>
      </c>
      <c r="I23" t="s">
        <v>28</v>
      </c>
    </row>
    <row r="24" spans="1:10">
      <c r="A24" s="4" t="s">
        <v>8</v>
      </c>
      <c r="B24" s="5">
        <f>0.22*1.15</f>
        <v>0.253</v>
      </c>
      <c r="C24" s="5">
        <f>0.24*1.15</f>
        <v>0.27599999999999997</v>
      </c>
      <c r="D24" s="5">
        <f>0.1*1.15</f>
        <v>0.11499999999999999</v>
      </c>
      <c r="E24" s="5">
        <f>0.13*1.15</f>
        <v>0.14949999999999999</v>
      </c>
      <c r="F24" s="5">
        <f>0.04*1.15</f>
        <v>4.5999999999999999E-2</v>
      </c>
      <c r="G24" s="5">
        <f>0.05*1.15</f>
        <v>5.7499999999999996E-2</v>
      </c>
      <c r="I24" s="9"/>
      <c r="J24" t="s">
        <v>29</v>
      </c>
    </row>
    <row r="27" spans="1:10">
      <c r="B27" s="41" t="s">
        <v>30</v>
      </c>
      <c r="C27" s="41"/>
      <c r="D27" s="41"/>
      <c r="E27" s="41"/>
      <c r="F27" s="41"/>
      <c r="G27" s="41"/>
      <c r="H27" s="41"/>
    </row>
    <row r="28" spans="1:10" ht="30">
      <c r="A28" s="8" t="s">
        <v>31</v>
      </c>
      <c r="B28" s="3" t="s">
        <v>23</v>
      </c>
      <c r="C28" s="3" t="s">
        <v>2</v>
      </c>
      <c r="D28" s="3" t="s">
        <v>3</v>
      </c>
      <c r="E28" s="3" t="s">
        <v>4</v>
      </c>
      <c r="F28" s="3" t="s">
        <v>24</v>
      </c>
      <c r="G28" s="3" t="s">
        <v>5</v>
      </c>
      <c r="H28" s="10" t="s">
        <v>32</v>
      </c>
      <c r="I28" s="10" t="s">
        <v>33</v>
      </c>
      <c r="J28" s="10" t="s">
        <v>34</v>
      </c>
    </row>
    <row r="29" spans="1:10">
      <c r="A29" s="4" t="s">
        <v>10</v>
      </c>
      <c r="B29" s="24">
        <v>805.00000005123297</v>
      </c>
      <c r="C29" s="18">
        <v>1120.0000000000034</v>
      </c>
      <c r="D29" s="18">
        <v>1799.9999999846921</v>
      </c>
      <c r="E29" s="18">
        <v>590.00000000655325</v>
      </c>
      <c r="F29" s="18">
        <v>919.99999999999943</v>
      </c>
      <c r="G29" s="18">
        <v>764.99999995751853</v>
      </c>
      <c r="H29" s="18">
        <f>IF(I29&gt;0,1,0)</f>
        <v>1</v>
      </c>
      <c r="I29" s="17">
        <f>SUM(B29:G29)</f>
        <v>5999.9999999999991</v>
      </c>
      <c r="J29" s="19">
        <f>6000-I29</f>
        <v>0</v>
      </c>
    </row>
    <row r="30" spans="1:10">
      <c r="A30" s="4" t="s">
        <v>6</v>
      </c>
      <c r="B30" s="18">
        <v>0</v>
      </c>
      <c r="C30" s="18">
        <v>0</v>
      </c>
      <c r="D30" s="18">
        <v>0</v>
      </c>
      <c r="E30" s="18">
        <v>0</v>
      </c>
      <c r="F30" s="18">
        <v>0</v>
      </c>
      <c r="G30" s="18">
        <v>0</v>
      </c>
      <c r="H30" s="18">
        <f t="shared" ref="H30:H32" si="1">IF(I30&gt;0,1,0)</f>
        <v>0</v>
      </c>
      <c r="I30" s="25">
        <f>SUM(B30:G30)</f>
        <v>0</v>
      </c>
      <c r="J30" s="28">
        <f>6000-I30</f>
        <v>6000</v>
      </c>
    </row>
    <row r="31" spans="1:10">
      <c r="A31" s="4" t="s">
        <v>7</v>
      </c>
      <c r="B31" s="18">
        <v>0</v>
      </c>
      <c r="C31" s="18">
        <v>0</v>
      </c>
      <c r="D31" s="18">
        <v>0</v>
      </c>
      <c r="E31" s="18">
        <v>0</v>
      </c>
      <c r="F31" s="18">
        <v>0</v>
      </c>
      <c r="G31" s="18">
        <v>0</v>
      </c>
      <c r="H31" s="18">
        <f t="shared" si="1"/>
        <v>0</v>
      </c>
      <c r="I31" s="25">
        <f t="shared" ref="I31:I32" si="2">SUM(B31:G31)</f>
        <v>0</v>
      </c>
      <c r="J31" s="28">
        <f>7000-I31</f>
        <v>7000</v>
      </c>
    </row>
    <row r="32" spans="1:10">
      <c r="A32" s="4" t="s">
        <v>8</v>
      </c>
      <c r="B32" s="18">
        <v>0</v>
      </c>
      <c r="C32" s="18">
        <v>0</v>
      </c>
      <c r="D32" s="18">
        <v>0</v>
      </c>
      <c r="E32" s="18">
        <v>0</v>
      </c>
      <c r="F32" s="18">
        <v>0</v>
      </c>
      <c r="G32" s="18">
        <v>355.00000004248221</v>
      </c>
      <c r="H32" s="18">
        <f t="shared" si="1"/>
        <v>1</v>
      </c>
      <c r="I32" s="25">
        <f t="shared" si="2"/>
        <v>355.00000004248221</v>
      </c>
      <c r="J32" s="28">
        <f>7500-I32</f>
        <v>7144.9999999575175</v>
      </c>
    </row>
    <row r="33" spans="1:10">
      <c r="A33" s="4" t="s">
        <v>35</v>
      </c>
      <c r="B33" s="25">
        <f>SUM(B29:B32)</f>
        <v>805.00000005123297</v>
      </c>
      <c r="C33" s="25">
        <f t="shared" ref="C33:G33" si="3">SUM(C29:C32)</f>
        <v>1120.0000000000034</v>
      </c>
      <c r="D33" s="25">
        <f t="shared" si="3"/>
        <v>1799.9999999846921</v>
      </c>
      <c r="E33" s="25">
        <f t="shared" si="3"/>
        <v>590.00000000655325</v>
      </c>
      <c r="F33" s="25">
        <f t="shared" si="3"/>
        <v>919.99999999999943</v>
      </c>
      <c r="G33" s="25">
        <f t="shared" si="3"/>
        <v>1120.0000000000007</v>
      </c>
    </row>
    <row r="34" spans="1:10">
      <c r="A34" s="4" t="s">
        <v>36</v>
      </c>
      <c r="B34" s="28">
        <f>B14-B33</f>
        <v>-5.1233087106083985E-8</v>
      </c>
      <c r="C34" s="28">
        <f t="shared" ref="C34:G34" si="4">C14-C33</f>
        <v>-3.4106051316484809E-12</v>
      </c>
      <c r="D34" s="28">
        <f t="shared" si="4"/>
        <v>1.5307932699215598E-8</v>
      </c>
      <c r="E34" s="28">
        <f t="shared" si="4"/>
        <v>-6.5532503867871128E-9</v>
      </c>
      <c r="F34" s="28">
        <f t="shared" si="4"/>
        <v>0</v>
      </c>
      <c r="G34" s="28">
        <f t="shared" si="4"/>
        <v>0</v>
      </c>
    </row>
    <row r="37" spans="1:10">
      <c r="B37" s="41" t="s">
        <v>37</v>
      </c>
      <c r="C37" s="41"/>
      <c r="D37" s="41"/>
      <c r="E37" s="41"/>
      <c r="F37" s="41"/>
      <c r="G37" s="41"/>
      <c r="H37" s="41"/>
    </row>
    <row r="38" spans="1:10" ht="30">
      <c r="A38" s="12" t="s">
        <v>31</v>
      </c>
      <c r="B38" s="3" t="s">
        <v>23</v>
      </c>
      <c r="C38" s="3" t="s">
        <v>2</v>
      </c>
      <c r="D38" s="3" t="s">
        <v>3</v>
      </c>
      <c r="E38" s="3" t="s">
        <v>4</v>
      </c>
      <c r="F38" s="3" t="s">
        <v>24</v>
      </c>
      <c r="G38" s="3" t="s">
        <v>5</v>
      </c>
      <c r="H38" s="10" t="s">
        <v>32</v>
      </c>
      <c r="I38" s="10" t="s">
        <v>33</v>
      </c>
      <c r="J38" s="10" t="s">
        <v>34</v>
      </c>
    </row>
    <row r="39" spans="1:10">
      <c r="A39" t="s">
        <v>10</v>
      </c>
      <c r="B39" s="18">
        <v>459.99999999999994</v>
      </c>
      <c r="C39" s="18">
        <v>784.00000000000011</v>
      </c>
      <c r="D39" s="24">
        <v>1200.0000009843989</v>
      </c>
      <c r="E39" s="18">
        <v>354.00000002448132</v>
      </c>
      <c r="F39" s="24">
        <v>517.49999989679236</v>
      </c>
      <c r="G39" s="24">
        <v>684.49999909432665</v>
      </c>
      <c r="H39" s="18">
        <f>IF(I39&gt;0,1,0)</f>
        <v>1</v>
      </c>
      <c r="I39" s="17">
        <f>SUM(B39:G39)</f>
        <v>3999.9999999999991</v>
      </c>
      <c r="J39" s="19">
        <f>4000-I39</f>
        <v>0</v>
      </c>
    </row>
    <row r="40" spans="1:10">
      <c r="A40" t="s">
        <v>6</v>
      </c>
      <c r="B40" s="18">
        <v>0</v>
      </c>
      <c r="C40" s="18">
        <v>0</v>
      </c>
      <c r="D40" s="18">
        <v>0</v>
      </c>
      <c r="E40" s="18">
        <v>0</v>
      </c>
      <c r="F40" s="18">
        <v>0</v>
      </c>
      <c r="G40" s="18">
        <v>0</v>
      </c>
      <c r="H40" s="18">
        <f t="shared" ref="H40:H42" si="5">IF(I40&gt;0,1,0)</f>
        <v>0</v>
      </c>
      <c r="I40" s="25">
        <f t="shared" ref="I40:I42" si="6">SUM(B40:G40)</f>
        <v>0</v>
      </c>
      <c r="J40" s="28">
        <f>4500-I40</f>
        <v>4500</v>
      </c>
    </row>
    <row r="41" spans="1:10">
      <c r="A41" t="s">
        <v>7</v>
      </c>
      <c r="B41" s="18">
        <v>0</v>
      </c>
      <c r="C41" s="18">
        <v>0</v>
      </c>
      <c r="D41" s="18">
        <v>0</v>
      </c>
      <c r="E41" s="18">
        <v>0</v>
      </c>
      <c r="F41" s="18">
        <v>0</v>
      </c>
      <c r="G41" s="18">
        <v>0</v>
      </c>
      <c r="H41" s="18">
        <f t="shared" si="5"/>
        <v>0</v>
      </c>
      <c r="I41" s="25">
        <f t="shared" si="6"/>
        <v>0</v>
      </c>
      <c r="J41" s="28">
        <f>5200-I41</f>
        <v>5200</v>
      </c>
    </row>
    <row r="42" spans="1:10">
      <c r="A42" t="s">
        <v>8</v>
      </c>
      <c r="B42" s="18">
        <v>0</v>
      </c>
      <c r="C42" s="18">
        <v>0</v>
      </c>
      <c r="D42" s="18">
        <v>0</v>
      </c>
      <c r="E42" s="18">
        <v>0</v>
      </c>
      <c r="F42" s="18">
        <v>0</v>
      </c>
      <c r="G42" s="24">
        <v>155.5000009056732</v>
      </c>
      <c r="H42" s="18">
        <f t="shared" si="5"/>
        <v>1</v>
      </c>
      <c r="I42" s="25">
        <f t="shared" si="6"/>
        <v>155.5000009056732</v>
      </c>
      <c r="J42" s="28">
        <f>5500-I42</f>
        <v>5344.499999094327</v>
      </c>
    </row>
    <row r="43" spans="1:10">
      <c r="A43" t="s">
        <v>35</v>
      </c>
      <c r="B43" s="26">
        <f>SUM(B39:B42)</f>
        <v>459.99999999999994</v>
      </c>
      <c r="C43" s="26">
        <f t="shared" ref="C43:G43" si="7">SUM(C39:C42)</f>
        <v>784.00000000000011</v>
      </c>
      <c r="D43" s="26">
        <f t="shared" si="7"/>
        <v>1200.0000009843989</v>
      </c>
      <c r="E43" s="26">
        <f t="shared" si="7"/>
        <v>354.00000002448132</v>
      </c>
      <c r="F43" s="26">
        <f t="shared" si="7"/>
        <v>517.49999989679236</v>
      </c>
      <c r="G43" s="26">
        <f t="shared" si="7"/>
        <v>839.99999999999989</v>
      </c>
      <c r="I43" s="21"/>
    </row>
    <row r="44" spans="1:10">
      <c r="A44" t="s">
        <v>36</v>
      </c>
      <c r="B44" s="28">
        <f>B15-B43</f>
        <v>0</v>
      </c>
      <c r="C44" s="28">
        <f t="shared" ref="C44:G44" si="8">C15-C43</f>
        <v>0</v>
      </c>
      <c r="D44" s="28">
        <f t="shared" si="8"/>
        <v>-9.8439886642154306E-7</v>
      </c>
      <c r="E44" s="28">
        <f t="shared" si="8"/>
        <v>-2.4481323634972796E-8</v>
      </c>
      <c r="F44" s="28">
        <f t="shared" si="8"/>
        <v>1.0320763976778835E-7</v>
      </c>
      <c r="G44" s="28">
        <f t="shared" si="8"/>
        <v>0</v>
      </c>
    </row>
    <row r="47" spans="1:10">
      <c r="A47" s="42" t="s">
        <v>38</v>
      </c>
      <c r="B47" s="42"/>
    </row>
    <row r="48" spans="1:10">
      <c r="A48" s="22" t="s">
        <v>9</v>
      </c>
      <c r="B48" s="27">
        <f>(IF(I30&gt;0,1200000)+(IF(I31&gt;0,1500000)+(IF(I32&gt;0,1600000))))+(IF(I40&gt;0,1200000)+(IF(I41&gt;0,1500000)+(IF(I42&gt;0,1600000))))</f>
        <v>3200000</v>
      </c>
    </row>
    <row r="49" spans="1:5">
      <c r="A49" s="4" t="s">
        <v>14</v>
      </c>
      <c r="B49" s="15">
        <f>(IF(I29&gt;0,B6)+(IF(I30&gt;0,B7)+(IF(I31&gt;0,B8)+(IF(I32&gt;0,B9)))))+(IF(I39&gt;0,E6)+(IF(I40&gt;0,E7)+(IF(I41&gt;0,E8)+(IF(I42&gt;0,E9)))))</f>
        <v>1060000</v>
      </c>
      <c r="D49" t="s">
        <v>28</v>
      </c>
    </row>
    <row r="50" spans="1:5">
      <c r="A50" s="4" t="s">
        <v>39</v>
      </c>
      <c r="B50" s="16">
        <f>(((SUM(B29:G29)*C6)+(SUM(B29:G29)*F6))+((SUM(B30:G30)*C7)+(SUM(B30:G30)*F7))+((SUM(B31:G31)*C8)+(SUM(B31:G31)*F8))+((SUM(B32:G32)*C9)+(SUM(B32:G32)*F9)))*360</f>
        <v>1817460.0000107053</v>
      </c>
      <c r="D50" s="1"/>
      <c r="E50" t="s">
        <v>40</v>
      </c>
    </row>
    <row r="51" spans="1:5">
      <c r="A51" s="4" t="s">
        <v>41</v>
      </c>
      <c r="B51" s="15">
        <f>360*(((SUMPRODUCT(B29:G29,B21:G21)+SUMPRODUCT(B39:G39,B21:G21))+((SUMPRODUCT(B30:G30,B22:G22)+SUMPRODUCT(B40:G40,B22:G22))+((SUMPRODUCT(B31:G31,B23:G23)+SUMPRODUCT(B41:G41,B23:G23))+((SUMPRODUCT(B32:G32,B24:G24)+SUMPRODUCT(B42:G42,B24:G24)))))))</f>
        <v>647262.08996484114</v>
      </c>
      <c r="D51" s="13"/>
      <c r="E51" t="s">
        <v>13</v>
      </c>
    </row>
    <row r="52" spans="1:5">
      <c r="A52" s="4" t="s">
        <v>43</v>
      </c>
      <c r="B52" s="15">
        <f>SUM(B48:B51)</f>
        <v>6724722.089975547</v>
      </c>
      <c r="D52" s="14"/>
      <c r="E52" t="s">
        <v>42</v>
      </c>
    </row>
  </sheetData>
  <mergeCells count="8">
    <mergeCell ref="B37:H37"/>
    <mergeCell ref="A47:B47"/>
    <mergeCell ref="B3:G3"/>
    <mergeCell ref="B4:D4"/>
    <mergeCell ref="E4:G4"/>
    <mergeCell ref="B12:G12"/>
    <mergeCell ref="B19:G19"/>
    <mergeCell ref="B27:H27"/>
  </mergeCell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3:J51"/>
  <sheetViews>
    <sheetView topLeftCell="A16" workbookViewId="0">
      <selection activeCell="A16" sqref="A1:XFD1048576"/>
    </sheetView>
  </sheetViews>
  <sheetFormatPr defaultRowHeight="15"/>
  <cols>
    <col min="1" max="1" width="18.140625" customWidth="1"/>
    <col min="2" max="2" width="17.7109375" customWidth="1"/>
    <col min="3" max="7" width="12.7109375" customWidth="1"/>
    <col min="8" max="8" width="14.140625" customWidth="1"/>
    <col min="9" max="9" width="13.7109375" customWidth="1"/>
  </cols>
  <sheetData>
    <row r="3" spans="1:7">
      <c r="B3" s="42" t="s">
        <v>15</v>
      </c>
      <c r="C3" s="42"/>
      <c r="D3" s="42"/>
      <c r="E3" s="42"/>
      <c r="F3" s="42"/>
      <c r="G3" s="42"/>
    </row>
    <row r="4" spans="1:7">
      <c r="B4" s="43" t="s">
        <v>0</v>
      </c>
      <c r="C4" s="43"/>
      <c r="D4" s="43"/>
      <c r="E4" s="43" t="s">
        <v>1</v>
      </c>
      <c r="F4" s="43"/>
      <c r="G4" s="43"/>
    </row>
    <row r="5" spans="1:7" ht="30">
      <c r="A5" s="2" t="s">
        <v>16</v>
      </c>
      <c r="B5" s="3" t="s">
        <v>17</v>
      </c>
      <c r="C5" s="3" t="s">
        <v>18</v>
      </c>
      <c r="D5" s="3" t="s">
        <v>19</v>
      </c>
      <c r="E5" s="3" t="s">
        <v>17</v>
      </c>
      <c r="F5" s="3" t="s">
        <v>20</v>
      </c>
      <c r="G5" s="3" t="s">
        <v>19</v>
      </c>
    </row>
    <row r="6" spans="1:7">
      <c r="A6" s="4" t="s">
        <v>10</v>
      </c>
      <c r="B6" s="5">
        <v>200000</v>
      </c>
      <c r="C6" s="5">
        <v>0.3</v>
      </c>
      <c r="D6" s="6">
        <v>6000</v>
      </c>
      <c r="E6" s="5">
        <v>300000</v>
      </c>
      <c r="F6" s="5">
        <v>0.5</v>
      </c>
      <c r="G6" s="6">
        <v>4000</v>
      </c>
    </row>
    <row r="7" spans="1:7">
      <c r="A7" s="4" t="s">
        <v>6</v>
      </c>
      <c r="B7" s="5">
        <v>220000</v>
      </c>
      <c r="C7" s="5">
        <v>0.25</v>
      </c>
      <c r="D7" s="6">
        <v>6000</v>
      </c>
      <c r="E7" s="5">
        <v>300000</v>
      </c>
      <c r="F7" s="5">
        <v>0.45</v>
      </c>
      <c r="G7" s="6">
        <v>4500</v>
      </c>
    </row>
    <row r="8" spans="1:7">
      <c r="A8" s="4" t="s">
        <v>7</v>
      </c>
      <c r="B8" s="5">
        <v>240000</v>
      </c>
      <c r="C8" s="5">
        <v>0.25</v>
      </c>
      <c r="D8" s="6">
        <v>7000</v>
      </c>
      <c r="E8" s="5">
        <v>320000</v>
      </c>
      <c r="F8" s="5">
        <v>0.45</v>
      </c>
      <c r="G8" s="6">
        <v>5200</v>
      </c>
    </row>
    <row r="9" spans="1:7">
      <c r="A9" s="4" t="s">
        <v>8</v>
      </c>
      <c r="B9" s="5">
        <v>240000</v>
      </c>
      <c r="C9" s="5">
        <v>0.25</v>
      </c>
      <c r="D9" s="6">
        <v>7500</v>
      </c>
      <c r="E9" s="5">
        <v>320000</v>
      </c>
      <c r="F9" s="5">
        <v>0.45</v>
      </c>
      <c r="G9" s="6">
        <v>5500</v>
      </c>
    </row>
    <row r="12" spans="1:7">
      <c r="B12" s="42" t="s">
        <v>21</v>
      </c>
      <c r="C12" s="42"/>
      <c r="D12" s="42"/>
      <c r="E12" s="42"/>
      <c r="F12" s="42"/>
      <c r="G12" s="42"/>
    </row>
    <row r="13" spans="1:7" ht="30">
      <c r="A13" s="2" t="s">
        <v>22</v>
      </c>
      <c r="B13" s="3" t="s">
        <v>23</v>
      </c>
      <c r="C13" s="3" t="s">
        <v>2</v>
      </c>
      <c r="D13" s="3" t="s">
        <v>3</v>
      </c>
      <c r="E13" s="3" t="s">
        <v>4</v>
      </c>
      <c r="F13" s="3" t="s">
        <v>24</v>
      </c>
      <c r="G13" s="3" t="s">
        <v>5</v>
      </c>
    </row>
    <row r="14" spans="1:7">
      <c r="A14" s="4" t="s">
        <v>0</v>
      </c>
      <c r="B14" s="30">
        <f>'Scenario A (Y1)'!B14*1.15</f>
        <v>925.74999999999977</v>
      </c>
      <c r="C14" s="30">
        <f>'Scenario A (Y1)'!C14*1.12</f>
        <v>1254.4000000000001</v>
      </c>
      <c r="D14" s="30">
        <f>'Scenario A (Y1)'!D14*1.2</f>
        <v>2160</v>
      </c>
      <c r="E14" s="30">
        <f>'Scenario A (Y1)'!E14*1.18</f>
        <v>696.19999999999993</v>
      </c>
      <c r="F14" s="30">
        <f>'Scenario A (Y1)'!F14*1.15</f>
        <v>1057.9999999999998</v>
      </c>
      <c r="G14" s="30">
        <f>'Scenario A (Y1)'!G14*1.12</f>
        <v>1254.4000000000001</v>
      </c>
    </row>
    <row r="15" spans="1:7">
      <c r="A15" s="4" t="s">
        <v>1</v>
      </c>
      <c r="B15" s="30">
        <f>'Scenario A (Y1)'!B15*1.15</f>
        <v>528.99999999999989</v>
      </c>
      <c r="C15" s="30">
        <f>'Scenario A (Y1)'!C15*1.12</f>
        <v>878.08000000000015</v>
      </c>
      <c r="D15" s="30">
        <f>'Scenario A (Y1)'!D15*1.2</f>
        <v>1440</v>
      </c>
      <c r="E15" s="30">
        <f>'Scenario A (Y1)'!E15*1.18</f>
        <v>417.71999999999997</v>
      </c>
      <c r="F15" s="30">
        <f>'Scenario A (Y1)'!F15*1.15</f>
        <v>595.125</v>
      </c>
      <c r="G15" s="30">
        <f>'Scenario A (Y1)'!G15*1.12</f>
        <v>940.80000000000018</v>
      </c>
    </row>
    <row r="16" spans="1:7">
      <c r="A16" s="4" t="s">
        <v>44</v>
      </c>
      <c r="B16" s="30">
        <f>SUM(B14:B15)</f>
        <v>1454.7499999999995</v>
      </c>
      <c r="C16" s="30">
        <f t="shared" ref="C16:G16" si="0">SUM(C14:C15)</f>
        <v>2132.4800000000005</v>
      </c>
      <c r="D16" s="30">
        <f t="shared" si="0"/>
        <v>3600</v>
      </c>
      <c r="E16" s="30">
        <f t="shared" si="0"/>
        <v>1113.9199999999998</v>
      </c>
      <c r="F16" s="30">
        <f t="shared" si="0"/>
        <v>1653.1249999999998</v>
      </c>
      <c r="G16" s="30">
        <f t="shared" si="0"/>
        <v>2195.2000000000003</v>
      </c>
    </row>
    <row r="19" spans="1:10">
      <c r="B19" s="44" t="s">
        <v>26</v>
      </c>
      <c r="C19" s="44"/>
      <c r="D19" s="44"/>
      <c r="E19" s="44"/>
      <c r="F19" s="44"/>
      <c r="G19" s="44"/>
    </row>
    <row r="20" spans="1:10" ht="31.5" customHeight="1">
      <c r="A20" s="8" t="s">
        <v>27</v>
      </c>
      <c r="B20" s="3" t="s">
        <v>23</v>
      </c>
      <c r="C20" s="3" t="s">
        <v>2</v>
      </c>
      <c r="D20" s="3" t="s">
        <v>3</v>
      </c>
      <c r="E20" s="3" t="s">
        <v>4</v>
      </c>
      <c r="F20" s="3" t="s">
        <v>24</v>
      </c>
      <c r="G20" s="3" t="s">
        <v>5</v>
      </c>
    </row>
    <row r="21" spans="1:10">
      <c r="A21" s="4" t="s">
        <v>10</v>
      </c>
      <c r="B21" s="5">
        <f>'Scenario A (Y1)'!B21*(1+15%)</f>
        <v>0.13224999999999998</v>
      </c>
      <c r="C21" s="5">
        <f>'Scenario A (Y1)'!C21*(1+15%)</f>
        <v>0.15869999999999998</v>
      </c>
      <c r="D21" s="5">
        <f>'Scenario A (Y1)'!D21*(1+15%)</f>
        <v>0.14547499999999999</v>
      </c>
      <c r="E21" s="5">
        <f>'Scenario A (Y1)'!E21*(1+15%)</f>
        <v>0.26449999999999996</v>
      </c>
      <c r="F21" s="5">
        <f>'Scenario A (Y1)'!F21*(1+15%)</f>
        <v>0.29094999999999999</v>
      </c>
      <c r="G21" s="5">
        <f>'Scenario A (Y1)'!G21*(1+15%)</f>
        <v>0.31739999999999996</v>
      </c>
    </row>
    <row r="22" spans="1:10">
      <c r="A22" s="4" t="s">
        <v>6</v>
      </c>
      <c r="B22" s="5">
        <f>'Scenario A (Y1)'!B22*(1+15%)</f>
        <v>0.13224999999999998</v>
      </c>
      <c r="C22" s="5">
        <f>'Scenario A (Y1)'!C22*(1+15%)</f>
        <v>0.15869999999999998</v>
      </c>
      <c r="D22" s="5">
        <f>'Scenario A (Y1)'!D22*(1+15%)</f>
        <v>5.2899999999999996E-2</v>
      </c>
      <c r="E22" s="5">
        <f>'Scenario A (Y1)'!E22*(1+15%)</f>
        <v>0.15869999999999998</v>
      </c>
      <c r="F22" s="5">
        <f>'Scenario A (Y1)'!F22*(1+15%)</f>
        <v>0.19837499999999997</v>
      </c>
      <c r="G22" s="5">
        <f>'Scenario A (Y1)'!G22*(1+15%)</f>
        <v>0.224825</v>
      </c>
    </row>
    <row r="23" spans="1:10">
      <c r="A23" s="4" t="s">
        <v>7</v>
      </c>
      <c r="B23" s="5">
        <f>'Scenario A (Y1)'!B23*(1+15%)</f>
        <v>0.23804999999999996</v>
      </c>
      <c r="C23" s="5">
        <f>'Scenario A (Y1)'!C23*(1+15%)</f>
        <v>0.21159999999999998</v>
      </c>
      <c r="D23" s="5">
        <f>'Scenario A (Y1)'!D23*(1+15%)</f>
        <v>6.6124999999999989E-2</v>
      </c>
      <c r="E23" s="5">
        <f>'Scenario A (Y1)'!E23*(1+15%)</f>
        <v>5.2899999999999996E-2</v>
      </c>
      <c r="F23" s="5">
        <f>'Scenario A (Y1)'!F23*(1+15%)</f>
        <v>0.13224999999999998</v>
      </c>
      <c r="G23" s="5">
        <f>'Scenario A (Y1)'!G23*(1+15%)</f>
        <v>0.14547499999999999</v>
      </c>
      <c r="I23" t="s">
        <v>28</v>
      </c>
    </row>
    <row r="24" spans="1:10">
      <c r="A24" s="4" t="s">
        <v>8</v>
      </c>
      <c r="B24" s="5">
        <f>'Scenario A (Y1)'!B24*(1+15%)</f>
        <v>0.29094999999999999</v>
      </c>
      <c r="C24" s="5">
        <f>'Scenario A (Y1)'!C24*(1+15%)</f>
        <v>0.31739999999999996</v>
      </c>
      <c r="D24" s="5">
        <f>'Scenario A (Y1)'!D24*(1+15%)</f>
        <v>0.13224999999999998</v>
      </c>
      <c r="E24" s="5">
        <f>'Scenario A (Y1)'!E24*(1+15%)</f>
        <v>0.17192499999999997</v>
      </c>
      <c r="F24" s="5">
        <f>'Scenario A (Y1)'!F24*(1+15%)</f>
        <v>5.2899999999999996E-2</v>
      </c>
      <c r="G24" s="5">
        <f>'Scenario A (Y1)'!G24*(1+15%)</f>
        <v>6.6124999999999989E-2</v>
      </c>
      <c r="I24" s="9"/>
      <c r="J24" t="s">
        <v>29</v>
      </c>
    </row>
    <row r="27" spans="1:10">
      <c r="B27" s="41" t="s">
        <v>30</v>
      </c>
      <c r="C27" s="41"/>
      <c r="D27" s="41"/>
      <c r="E27" s="41"/>
      <c r="F27" s="41"/>
      <c r="G27" s="41"/>
      <c r="H27" s="41"/>
    </row>
    <row r="28" spans="1:10" ht="30">
      <c r="A28" s="8" t="s">
        <v>31</v>
      </c>
      <c r="B28" s="3" t="s">
        <v>23</v>
      </c>
      <c r="C28" s="3" t="s">
        <v>2</v>
      </c>
      <c r="D28" s="3" t="s">
        <v>3</v>
      </c>
      <c r="E28" s="3" t="s">
        <v>4</v>
      </c>
      <c r="F28" s="3" t="s">
        <v>24</v>
      </c>
      <c r="G28" s="3" t="s">
        <v>5</v>
      </c>
      <c r="H28" s="10" t="s">
        <v>32</v>
      </c>
      <c r="I28" s="10" t="s">
        <v>33</v>
      </c>
      <c r="J28" s="10" t="s">
        <v>34</v>
      </c>
    </row>
    <row r="29" spans="1:10">
      <c r="A29" s="4" t="s">
        <v>10</v>
      </c>
      <c r="B29" s="24">
        <v>791.35002278804325</v>
      </c>
      <c r="C29" s="24">
        <v>1119.9999468279011</v>
      </c>
      <c r="D29" s="24">
        <v>1841.8500076384944</v>
      </c>
      <c r="E29" s="24">
        <v>561.80002278804329</v>
      </c>
      <c r="F29" s="24">
        <v>919.99999999999943</v>
      </c>
      <c r="G29" s="24">
        <v>764.99999995751853</v>
      </c>
      <c r="H29" s="18">
        <f>IF(I29&gt;0,1,0)</f>
        <v>1</v>
      </c>
      <c r="I29" s="17">
        <f>SUM(B29:G29)</f>
        <v>5999.9999999999991</v>
      </c>
      <c r="J29" s="19">
        <f>6000-I29</f>
        <v>0</v>
      </c>
    </row>
    <row r="30" spans="1:10">
      <c r="A30" s="4" t="s">
        <v>6</v>
      </c>
      <c r="B30" s="18">
        <v>0</v>
      </c>
      <c r="C30" s="18">
        <v>0</v>
      </c>
      <c r="D30" s="18">
        <v>0</v>
      </c>
      <c r="E30" s="18">
        <v>0</v>
      </c>
      <c r="F30" s="18">
        <v>0</v>
      </c>
      <c r="G30" s="18">
        <v>0</v>
      </c>
      <c r="H30" s="18">
        <f t="shared" ref="H30:H32" si="1">IF(I30&gt;0,1,0)</f>
        <v>0</v>
      </c>
      <c r="I30" s="25">
        <f>SUM(B30:G30)</f>
        <v>0</v>
      </c>
      <c r="J30" s="28">
        <f>6000-I30</f>
        <v>6000</v>
      </c>
    </row>
    <row r="31" spans="1:10">
      <c r="A31" s="4" t="s">
        <v>7</v>
      </c>
      <c r="B31" s="18">
        <v>0</v>
      </c>
      <c r="C31" s="18">
        <v>0</v>
      </c>
      <c r="D31" s="18">
        <v>0</v>
      </c>
      <c r="E31" s="18">
        <v>0</v>
      </c>
      <c r="F31" s="18">
        <v>0</v>
      </c>
      <c r="G31" s="18">
        <v>0</v>
      </c>
      <c r="H31" s="18">
        <f t="shared" si="1"/>
        <v>0</v>
      </c>
      <c r="I31" s="25">
        <f t="shared" ref="I31:I32" si="2">SUM(B31:G31)</f>
        <v>0</v>
      </c>
      <c r="J31" s="28">
        <f>7000-I31</f>
        <v>7000</v>
      </c>
    </row>
    <row r="32" spans="1:10">
      <c r="A32" s="4" t="s">
        <v>8</v>
      </c>
      <c r="B32" s="24">
        <v>134.39997721195661</v>
      </c>
      <c r="C32" s="24">
        <v>134.40005317209895</v>
      </c>
      <c r="D32" s="24">
        <v>134.40005317209895</v>
      </c>
      <c r="E32" s="24">
        <v>134.39997721195661</v>
      </c>
      <c r="F32" s="24">
        <v>134.39997721195661</v>
      </c>
      <c r="G32" s="24">
        <v>489.40000004248157</v>
      </c>
      <c r="H32" s="18">
        <f t="shared" si="1"/>
        <v>1</v>
      </c>
      <c r="I32" s="25">
        <f t="shared" si="2"/>
        <v>1161.4000380225493</v>
      </c>
      <c r="J32" s="28">
        <f>7500-I32</f>
        <v>6338.5999619774502</v>
      </c>
    </row>
    <row r="33" spans="1:10">
      <c r="A33" s="4" t="s">
        <v>35</v>
      </c>
      <c r="B33" s="25">
        <f>SUM(B29:B32)</f>
        <v>925.74999999999989</v>
      </c>
      <c r="C33" s="25">
        <f t="shared" ref="C33:G33" si="3">SUM(C29:C32)</f>
        <v>1254.4000000000001</v>
      </c>
      <c r="D33" s="25">
        <f t="shared" si="3"/>
        <v>1976.2500608105934</v>
      </c>
      <c r="E33" s="25">
        <f t="shared" si="3"/>
        <v>696.19999999999993</v>
      </c>
      <c r="F33" s="25">
        <f t="shared" si="3"/>
        <v>1054.399977211956</v>
      </c>
      <c r="G33" s="25">
        <f t="shared" si="3"/>
        <v>1254.4000000000001</v>
      </c>
    </row>
    <row r="34" spans="1:10">
      <c r="A34" s="4" t="s">
        <v>36</v>
      </c>
      <c r="B34" s="28">
        <f>B14-B33</f>
        <v>0</v>
      </c>
      <c r="C34" s="28">
        <f t="shared" ref="C34:G34" si="4">C14-C33</f>
        <v>0</v>
      </c>
      <c r="D34" s="28">
        <f t="shared" si="4"/>
        <v>183.74993918940663</v>
      </c>
      <c r="E34" s="28">
        <f t="shared" si="4"/>
        <v>0</v>
      </c>
      <c r="F34" s="28">
        <f t="shared" si="4"/>
        <v>3.600022788043816</v>
      </c>
      <c r="G34" s="28">
        <f t="shared" si="4"/>
        <v>0</v>
      </c>
    </row>
    <row r="37" spans="1:10">
      <c r="B37" s="41" t="s">
        <v>37</v>
      </c>
      <c r="C37" s="41"/>
      <c r="D37" s="41"/>
      <c r="E37" s="41"/>
      <c r="F37" s="41"/>
      <c r="G37" s="41"/>
      <c r="H37" s="41"/>
    </row>
    <row r="38" spans="1:10" ht="30">
      <c r="A38" s="12" t="s">
        <v>31</v>
      </c>
      <c r="B38" s="3" t="s">
        <v>23</v>
      </c>
      <c r="C38" s="3" t="s">
        <v>2</v>
      </c>
      <c r="D38" s="3" t="s">
        <v>3</v>
      </c>
      <c r="E38" s="3" t="s">
        <v>4</v>
      </c>
      <c r="F38" s="3" t="s">
        <v>24</v>
      </c>
      <c r="G38" s="3" t="s">
        <v>5</v>
      </c>
      <c r="H38" s="10" t="s">
        <v>32</v>
      </c>
      <c r="I38" s="10" t="s">
        <v>33</v>
      </c>
      <c r="J38" s="10" t="s">
        <v>34</v>
      </c>
    </row>
    <row r="39" spans="1:10">
      <c r="A39" t="s">
        <v>10</v>
      </c>
      <c r="B39" s="24">
        <v>421.46249128892862</v>
      </c>
      <c r="C39" s="24">
        <v>770.54252926900006</v>
      </c>
      <c r="D39" s="24">
        <v>1332.4624533088577</v>
      </c>
      <c r="E39" s="24">
        <v>310.18249128892865</v>
      </c>
      <c r="F39" s="24">
        <v>487.58752926899984</v>
      </c>
      <c r="G39" s="24">
        <v>677.76250557528419</v>
      </c>
      <c r="H39" s="18">
        <f>IF(I39&gt;0,1,0)</f>
        <v>1</v>
      </c>
      <c r="I39" s="17">
        <f>SUM(B39:G39)</f>
        <v>3999.9999999999991</v>
      </c>
      <c r="J39" s="19">
        <f>4000-I39</f>
        <v>0</v>
      </c>
    </row>
    <row r="40" spans="1:10">
      <c r="A40" t="s">
        <v>6</v>
      </c>
      <c r="B40" s="18">
        <v>0</v>
      </c>
      <c r="C40" s="18">
        <v>0</v>
      </c>
      <c r="D40" s="18">
        <v>0</v>
      </c>
      <c r="E40" s="18">
        <v>0</v>
      </c>
      <c r="F40" s="18">
        <v>0</v>
      </c>
      <c r="G40" s="18">
        <v>0</v>
      </c>
      <c r="H40" s="18">
        <f t="shared" ref="H40:H42" si="5">IF(I40&gt;0,1,0)</f>
        <v>0</v>
      </c>
      <c r="I40" s="25">
        <f t="shared" ref="I40:I42" si="6">SUM(B40:G40)</f>
        <v>0</v>
      </c>
      <c r="J40" s="28">
        <f>4500-I40</f>
        <v>4500</v>
      </c>
    </row>
    <row r="41" spans="1:10">
      <c r="A41" t="s">
        <v>7</v>
      </c>
      <c r="B41" s="18">
        <v>0</v>
      </c>
      <c r="C41" s="18">
        <v>0</v>
      </c>
      <c r="D41" s="18">
        <v>0</v>
      </c>
      <c r="E41" s="18">
        <v>0</v>
      </c>
      <c r="F41" s="18">
        <v>0</v>
      </c>
      <c r="G41" s="18">
        <v>0</v>
      </c>
      <c r="H41" s="18">
        <f t="shared" si="5"/>
        <v>0</v>
      </c>
      <c r="I41" s="25">
        <f t="shared" si="6"/>
        <v>0</v>
      </c>
      <c r="J41" s="28">
        <f>5200-I41</f>
        <v>5200</v>
      </c>
    </row>
    <row r="42" spans="1:10">
      <c r="A42" t="s">
        <v>8</v>
      </c>
      <c r="B42" s="24">
        <v>107.53750871107123</v>
      </c>
      <c r="C42" s="24">
        <v>107.53747073100006</v>
      </c>
      <c r="D42" s="24">
        <v>107.5375466911424</v>
      </c>
      <c r="E42" s="24">
        <v>107.53750871107123</v>
      </c>
      <c r="F42" s="24">
        <v>107.53747073100006</v>
      </c>
      <c r="G42" s="24">
        <v>263.03749442471593</v>
      </c>
      <c r="H42" s="18">
        <f t="shared" si="5"/>
        <v>1</v>
      </c>
      <c r="I42" s="25">
        <f t="shared" si="6"/>
        <v>800.72500000000082</v>
      </c>
      <c r="J42" s="28">
        <f>5500-I42</f>
        <v>4699.2749999999996</v>
      </c>
    </row>
    <row r="43" spans="1:10">
      <c r="A43" t="s">
        <v>35</v>
      </c>
      <c r="B43" s="26">
        <f>SUM(B39:B42)</f>
        <v>528.99999999999989</v>
      </c>
      <c r="C43" s="26">
        <f t="shared" ref="C43:G43" si="7">SUM(C39:C42)</f>
        <v>878.08000000000015</v>
      </c>
      <c r="D43" s="26">
        <f t="shared" si="7"/>
        <v>1440</v>
      </c>
      <c r="E43" s="26">
        <f t="shared" si="7"/>
        <v>417.71999999999986</v>
      </c>
      <c r="F43" s="26">
        <f t="shared" si="7"/>
        <v>595.12499999999989</v>
      </c>
      <c r="G43" s="26">
        <f t="shared" si="7"/>
        <v>940.80000000000018</v>
      </c>
      <c r="I43" s="21"/>
    </row>
    <row r="44" spans="1:10">
      <c r="A44" t="s">
        <v>36</v>
      </c>
      <c r="B44" s="28">
        <f>B15-B43</f>
        <v>0</v>
      </c>
      <c r="C44" s="28">
        <f t="shared" ref="C44:G44" si="8">C15-C43</f>
        <v>0</v>
      </c>
      <c r="D44" s="28">
        <f t="shared" si="8"/>
        <v>0</v>
      </c>
      <c r="E44" s="28">
        <f t="shared" si="8"/>
        <v>0</v>
      </c>
      <c r="F44" s="28">
        <f t="shared" si="8"/>
        <v>0</v>
      </c>
      <c r="G44" s="28">
        <f t="shared" si="8"/>
        <v>0</v>
      </c>
    </row>
    <row r="47" spans="1:10">
      <c r="A47" s="42" t="s">
        <v>38</v>
      </c>
      <c r="B47" s="42"/>
    </row>
    <row r="48" spans="1:10">
      <c r="A48" s="4" t="s">
        <v>14</v>
      </c>
      <c r="B48" s="15">
        <f>(IF(I29&gt;0,B6)+(IF(I30&gt;0,B7)+(IF(I31&gt;0,B8)+(IF(I32&gt;0,B9)))))+(IF(I39&gt;0,E6)+(IF(I40&gt;0,E7)+(IF(I41&gt;0,E8)+(IF(I42&gt;0,E9)))))</f>
        <v>1060000</v>
      </c>
      <c r="D48" t="s">
        <v>28</v>
      </c>
    </row>
    <row r="49" spans="1:5">
      <c r="A49" s="4" t="s">
        <v>39</v>
      </c>
      <c r="B49" s="16">
        <f>(((SUM(B29:G29)*C6)+(SUM(B29:G29)*F6))+((SUM(B30:G30)*C7)+(SUM(B30:G30)*F7))+((SUM(B31:G31)*C8)+(SUM(B31:G31)*F8))+((SUM(B32:G32)*C9)+(SUM(B32:G32)*F9)))*360</f>
        <v>2020672.8095816821</v>
      </c>
      <c r="D49" s="1"/>
      <c r="E49" t="s">
        <v>40</v>
      </c>
    </row>
    <row r="50" spans="1:5">
      <c r="A50" s="4" t="s">
        <v>41</v>
      </c>
      <c r="B50" s="15">
        <f>360*(((SUMPRODUCT(B29:G29,B21:G21)+SUMPRODUCT(B39:G39,B21:G21))+((SUMPRODUCT(B30:G30,B22:G22)+SUMPRODUCT(B40:G40,B22:G22))+((SUMPRODUCT(B31:G31,B23:G23)+SUMPRODUCT(B41:G41,B23:G23))+((SUMPRODUCT(B32:G32,B24:G24)+SUMPRODUCT(B42:G42,B24:G24)))))))</f>
        <v>829311.79998710298</v>
      </c>
      <c r="D50" s="13"/>
      <c r="E50" t="s">
        <v>13</v>
      </c>
    </row>
    <row r="51" spans="1:5">
      <c r="A51" s="4" t="s">
        <v>43</v>
      </c>
      <c r="B51" s="15">
        <f>SUM(B48:B50)</f>
        <v>3909984.6095687849</v>
      </c>
      <c r="D51" s="14"/>
      <c r="E51" t="s">
        <v>42</v>
      </c>
    </row>
  </sheetData>
  <mergeCells count="8">
    <mergeCell ref="B37:H37"/>
    <mergeCell ref="A47:B47"/>
    <mergeCell ref="B3:G3"/>
    <mergeCell ref="B4:D4"/>
    <mergeCell ref="E4:G4"/>
    <mergeCell ref="B12:G12"/>
    <mergeCell ref="B19:G19"/>
    <mergeCell ref="B27:H27"/>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3:J51"/>
  <sheetViews>
    <sheetView topLeftCell="A14" workbookViewId="0">
      <selection activeCell="A14" sqref="A1:XFD1048576"/>
    </sheetView>
  </sheetViews>
  <sheetFormatPr defaultRowHeight="15"/>
  <cols>
    <col min="1" max="1" width="18.140625" customWidth="1"/>
    <col min="2" max="2" width="17.7109375" customWidth="1"/>
    <col min="3" max="7" width="12.7109375" customWidth="1"/>
    <col min="8" max="8" width="14.140625" customWidth="1"/>
    <col min="9" max="9" width="13.7109375" customWidth="1"/>
  </cols>
  <sheetData>
    <row r="3" spans="1:7">
      <c r="B3" s="42" t="s">
        <v>15</v>
      </c>
      <c r="C3" s="42"/>
      <c r="D3" s="42"/>
      <c r="E3" s="42"/>
      <c r="F3" s="42"/>
      <c r="G3" s="42"/>
    </row>
    <row r="4" spans="1:7">
      <c r="B4" s="43" t="s">
        <v>0</v>
      </c>
      <c r="C4" s="43"/>
      <c r="D4" s="43"/>
      <c r="E4" s="43" t="s">
        <v>1</v>
      </c>
      <c r="F4" s="43"/>
      <c r="G4" s="43"/>
    </row>
    <row r="5" spans="1:7" ht="30">
      <c r="A5" s="2" t="s">
        <v>16</v>
      </c>
      <c r="B5" s="3" t="s">
        <v>17</v>
      </c>
      <c r="C5" s="3" t="s">
        <v>18</v>
      </c>
      <c r="D5" s="3" t="s">
        <v>19</v>
      </c>
      <c r="E5" s="3" t="s">
        <v>17</v>
      </c>
      <c r="F5" s="3" t="s">
        <v>20</v>
      </c>
      <c r="G5" s="3" t="s">
        <v>19</v>
      </c>
    </row>
    <row r="6" spans="1:7">
      <c r="A6" s="4" t="s">
        <v>10</v>
      </c>
      <c r="B6" s="5">
        <v>200000</v>
      </c>
      <c r="C6" s="5">
        <v>0.3</v>
      </c>
      <c r="D6" s="6">
        <v>6000</v>
      </c>
      <c r="E6" s="5">
        <v>300000</v>
      </c>
      <c r="F6" s="5">
        <v>0.5</v>
      </c>
      <c r="G6" s="6">
        <v>4000</v>
      </c>
    </row>
    <row r="7" spans="1:7">
      <c r="A7" s="4" t="s">
        <v>6</v>
      </c>
      <c r="B7" s="5">
        <v>220000</v>
      </c>
      <c r="C7" s="5">
        <v>0.25</v>
      </c>
      <c r="D7" s="6">
        <v>6000</v>
      </c>
      <c r="E7" s="5">
        <v>300000</v>
      </c>
      <c r="F7" s="5">
        <v>0.45</v>
      </c>
      <c r="G7" s="6">
        <v>4500</v>
      </c>
    </row>
    <row r="8" spans="1:7">
      <c r="A8" s="4" t="s">
        <v>7</v>
      </c>
      <c r="B8" s="5">
        <v>240000</v>
      </c>
      <c r="C8" s="5">
        <v>0.25</v>
      </c>
      <c r="D8" s="6">
        <v>7000</v>
      </c>
      <c r="E8" s="5">
        <v>320000</v>
      </c>
      <c r="F8" s="5">
        <v>0.45</v>
      </c>
      <c r="G8" s="6">
        <v>5200</v>
      </c>
    </row>
    <row r="9" spans="1:7">
      <c r="A9" s="4" t="s">
        <v>8</v>
      </c>
      <c r="B9" s="5">
        <v>240000</v>
      </c>
      <c r="C9" s="5">
        <v>0.25</v>
      </c>
      <c r="D9" s="6">
        <v>7500</v>
      </c>
      <c r="E9" s="5">
        <v>320000</v>
      </c>
      <c r="F9" s="5">
        <v>0.45</v>
      </c>
      <c r="G9" s="6">
        <v>5500</v>
      </c>
    </row>
    <row r="12" spans="1:7">
      <c r="B12" s="42" t="s">
        <v>21</v>
      </c>
      <c r="C12" s="42"/>
      <c r="D12" s="42"/>
      <c r="E12" s="42"/>
      <c r="F12" s="42"/>
      <c r="G12" s="42"/>
    </row>
    <row r="13" spans="1:7" ht="30">
      <c r="A13" s="2" t="s">
        <v>22</v>
      </c>
      <c r="B13" s="3" t="s">
        <v>23</v>
      </c>
      <c r="C13" s="3" t="s">
        <v>2</v>
      </c>
      <c r="D13" s="3" t="s">
        <v>3</v>
      </c>
      <c r="E13" s="3" t="s">
        <v>4</v>
      </c>
      <c r="F13" s="3" t="s">
        <v>24</v>
      </c>
      <c r="G13" s="3" t="s">
        <v>5</v>
      </c>
    </row>
    <row r="14" spans="1:7">
      <c r="A14" s="4" t="s">
        <v>0</v>
      </c>
      <c r="B14" s="30">
        <f>'Scenario A (Y2)'!B14*1.15</f>
        <v>1064.6124999999997</v>
      </c>
      <c r="C14" s="30">
        <f>'Scenario A (Y2)'!C14*1.15</f>
        <v>1442.56</v>
      </c>
      <c r="D14" s="30">
        <f>'Scenario A (Y2)'!D14*1.15</f>
        <v>2484</v>
      </c>
      <c r="E14" s="30">
        <f>'Scenario A (Y2)'!E14*1.15</f>
        <v>800.62999999999988</v>
      </c>
      <c r="F14" s="30">
        <f>'Scenario A (Y2)'!F14*1.15</f>
        <v>1216.6999999999996</v>
      </c>
      <c r="G14" s="30">
        <f>'Scenario A (Y2)'!G14*1.15</f>
        <v>1442.56</v>
      </c>
    </row>
    <row r="15" spans="1:7">
      <c r="A15" s="4" t="s">
        <v>1</v>
      </c>
      <c r="B15" s="30">
        <f>'Scenario A (Y2)'!B15*1.15</f>
        <v>608.3499999999998</v>
      </c>
      <c r="C15" s="30">
        <f>'Scenario A (Y2)'!C15*1.15</f>
        <v>1009.7920000000001</v>
      </c>
      <c r="D15" s="30">
        <f>'Scenario A (Y2)'!D15*1.15</f>
        <v>1655.9999999999998</v>
      </c>
      <c r="E15" s="30">
        <f>'Scenario A (Y2)'!E15*1.15</f>
        <v>480.37799999999993</v>
      </c>
      <c r="F15" s="30">
        <f>'Scenario A (Y2)'!F15*1.15</f>
        <v>684.39374999999995</v>
      </c>
      <c r="G15" s="30">
        <f>'Scenario A (Y2)'!G15*1.15</f>
        <v>1081.92</v>
      </c>
    </row>
    <row r="16" spans="1:7">
      <c r="A16" s="4" t="s">
        <v>44</v>
      </c>
      <c r="B16" s="30">
        <f>'Scenario A (Y2)'!B16*1.15</f>
        <v>1672.9624999999994</v>
      </c>
      <c r="C16" s="30">
        <f>'Scenario A (Y2)'!C16*1.15</f>
        <v>2452.3520000000003</v>
      </c>
      <c r="D16" s="30">
        <f>'Scenario A (Y2)'!D16*1.15</f>
        <v>4140</v>
      </c>
      <c r="E16" s="30">
        <f>'Scenario A (Y2)'!E16*1.15</f>
        <v>1281.0079999999998</v>
      </c>
      <c r="F16" s="30">
        <f>'Scenario A (Y2)'!F16*1.15</f>
        <v>1901.0937499999995</v>
      </c>
      <c r="G16" s="30">
        <f>'Scenario A (Y2)'!G16*1.15</f>
        <v>2524.48</v>
      </c>
    </row>
    <row r="19" spans="1:10">
      <c r="B19" s="44" t="s">
        <v>26</v>
      </c>
      <c r="C19" s="44"/>
      <c r="D19" s="44"/>
      <c r="E19" s="44"/>
      <c r="F19" s="44"/>
      <c r="G19" s="44"/>
    </row>
    <row r="20" spans="1:10" ht="31.5" customHeight="1">
      <c r="A20" s="8" t="s">
        <v>27</v>
      </c>
      <c r="B20" s="3" t="s">
        <v>23</v>
      </c>
      <c r="C20" s="3" t="s">
        <v>2</v>
      </c>
      <c r="D20" s="3" t="s">
        <v>3</v>
      </c>
      <c r="E20" s="3" t="s">
        <v>4</v>
      </c>
      <c r="F20" s="3" t="s">
        <v>24</v>
      </c>
      <c r="G20" s="3" t="s">
        <v>5</v>
      </c>
    </row>
    <row r="21" spans="1:10">
      <c r="A21" s="4" t="s">
        <v>10</v>
      </c>
      <c r="B21" s="5">
        <f>'Scenario A (Y2)'!B21*1.15</f>
        <v>0.15208749999999996</v>
      </c>
      <c r="C21" s="5">
        <f>'Scenario A (Y2)'!C21*1.15</f>
        <v>0.18250499999999997</v>
      </c>
      <c r="D21" s="5">
        <f>'Scenario A (Y2)'!D21*1.15</f>
        <v>0.16729624999999998</v>
      </c>
      <c r="E21" s="5">
        <f>'Scenario A (Y2)'!E21*1.15</f>
        <v>0.30417499999999992</v>
      </c>
      <c r="F21" s="5">
        <f>'Scenario A (Y2)'!F21*1.15</f>
        <v>0.33459249999999996</v>
      </c>
      <c r="G21" s="5">
        <f>'Scenario A (Y2)'!G21*1.15</f>
        <v>0.36500999999999995</v>
      </c>
    </row>
    <row r="22" spans="1:10">
      <c r="A22" s="4" t="s">
        <v>6</v>
      </c>
      <c r="B22" s="5">
        <f>'Scenario A (Y2)'!B22*1.15</f>
        <v>0.15208749999999996</v>
      </c>
      <c r="C22" s="5">
        <f>'Scenario A (Y2)'!C22*1.15</f>
        <v>0.18250499999999997</v>
      </c>
      <c r="D22" s="5">
        <f>'Scenario A (Y2)'!D22*1.15</f>
        <v>6.0834999999999993E-2</v>
      </c>
      <c r="E22" s="5">
        <f>'Scenario A (Y2)'!E22*1.15</f>
        <v>0.18250499999999997</v>
      </c>
      <c r="F22" s="5">
        <f>'Scenario A (Y2)'!F22*1.15</f>
        <v>0.22813124999999995</v>
      </c>
      <c r="G22" s="5">
        <f>'Scenario A (Y2)'!G22*1.15</f>
        <v>0.25854874999999999</v>
      </c>
    </row>
    <row r="23" spans="1:10">
      <c r="A23" s="4" t="s">
        <v>7</v>
      </c>
      <c r="B23" s="5">
        <f>'Scenario A (Y2)'!B23*1.15</f>
        <v>0.27375749999999993</v>
      </c>
      <c r="C23" s="5">
        <f>'Scenario A (Y2)'!C23*1.15</f>
        <v>0.24333999999999997</v>
      </c>
      <c r="D23" s="5">
        <f>'Scenario A (Y2)'!D23*1.15</f>
        <v>7.6043749999999979E-2</v>
      </c>
      <c r="E23" s="5">
        <f>'Scenario A (Y2)'!E23*1.15</f>
        <v>6.0834999999999993E-2</v>
      </c>
      <c r="F23" s="5">
        <f>'Scenario A (Y2)'!F23*1.15</f>
        <v>0.15208749999999996</v>
      </c>
      <c r="G23" s="5">
        <f>'Scenario A (Y2)'!G23*1.15</f>
        <v>0.16729624999999998</v>
      </c>
      <c r="I23" t="s">
        <v>28</v>
      </c>
    </row>
    <row r="24" spans="1:10">
      <c r="A24" s="4" t="s">
        <v>8</v>
      </c>
      <c r="B24" s="5">
        <f>'Scenario A (Y2)'!B24*1.15</f>
        <v>0.33459249999999996</v>
      </c>
      <c r="C24" s="5">
        <f>'Scenario A (Y2)'!C24*1.15</f>
        <v>0.36500999999999995</v>
      </c>
      <c r="D24" s="5">
        <f>'Scenario A (Y2)'!D24*1.15</f>
        <v>0.15208749999999996</v>
      </c>
      <c r="E24" s="5">
        <f>'Scenario A (Y2)'!E24*1.15</f>
        <v>0.19771374999999994</v>
      </c>
      <c r="F24" s="5">
        <f>'Scenario A (Y2)'!F24*1.15</f>
        <v>6.0834999999999993E-2</v>
      </c>
      <c r="G24" s="5">
        <f>'Scenario A (Y2)'!G24*1.15</f>
        <v>7.6043749999999979E-2</v>
      </c>
      <c r="I24" s="9"/>
      <c r="J24" t="s">
        <v>29</v>
      </c>
    </row>
    <row r="27" spans="1:10">
      <c r="B27" s="41" t="s">
        <v>30</v>
      </c>
      <c r="C27" s="41"/>
      <c r="D27" s="41"/>
      <c r="E27" s="41"/>
      <c r="F27" s="41"/>
      <c r="G27" s="41"/>
      <c r="H27" s="41"/>
    </row>
    <row r="28" spans="1:10" ht="30">
      <c r="A28" s="8" t="s">
        <v>31</v>
      </c>
      <c r="B28" s="3" t="s">
        <v>23</v>
      </c>
      <c r="C28" s="3" t="s">
        <v>2</v>
      </c>
      <c r="D28" s="3" t="s">
        <v>3</v>
      </c>
      <c r="E28" s="3" t="s">
        <v>4</v>
      </c>
      <c r="F28" s="3" t="s">
        <v>24</v>
      </c>
      <c r="G28" s="3" t="s">
        <v>5</v>
      </c>
      <c r="H28" s="10" t="s">
        <v>32</v>
      </c>
      <c r="I28" s="10" t="s">
        <v>33</v>
      </c>
      <c r="J28" s="10" t="s">
        <v>34</v>
      </c>
    </row>
    <row r="29" spans="1:10">
      <c r="A29" s="4" t="s">
        <v>10</v>
      </c>
      <c r="B29" s="24">
        <v>1064.6125</v>
      </c>
      <c r="C29" s="24">
        <v>1442.5599999999997</v>
      </c>
      <c r="D29" s="24">
        <v>2483.9999999999991</v>
      </c>
      <c r="E29" s="24">
        <v>800.62999999999965</v>
      </c>
      <c r="F29" s="24">
        <v>208.1975000000015</v>
      </c>
      <c r="G29" s="24">
        <v>0</v>
      </c>
      <c r="H29" s="18">
        <f>IF(I29&gt;0,1,0)</f>
        <v>1</v>
      </c>
      <c r="I29" s="17">
        <f>SUM(B29:G29)</f>
        <v>5999.9999999999991</v>
      </c>
      <c r="J29" s="19">
        <f>6000-I29</f>
        <v>0</v>
      </c>
    </row>
    <row r="30" spans="1:10">
      <c r="A30" s="4" t="s">
        <v>6</v>
      </c>
      <c r="B30" s="18">
        <v>0</v>
      </c>
      <c r="C30" s="18">
        <v>0</v>
      </c>
      <c r="D30" s="18">
        <v>0</v>
      </c>
      <c r="E30" s="18">
        <v>0</v>
      </c>
      <c r="F30" s="18">
        <v>0</v>
      </c>
      <c r="G30" s="18">
        <v>0</v>
      </c>
      <c r="H30" s="18">
        <f t="shared" ref="H30:H32" si="0">IF(I30&gt;0,1,0)</f>
        <v>0</v>
      </c>
      <c r="I30" s="25">
        <f>SUM(B30:G30)</f>
        <v>0</v>
      </c>
      <c r="J30" s="28">
        <f>6000-I30</f>
        <v>6000</v>
      </c>
    </row>
    <row r="31" spans="1:10">
      <c r="A31" s="4" t="s">
        <v>7</v>
      </c>
      <c r="B31" s="18">
        <v>0</v>
      </c>
      <c r="C31" s="18">
        <v>0</v>
      </c>
      <c r="D31" s="18">
        <v>0</v>
      </c>
      <c r="E31" s="18">
        <v>0</v>
      </c>
      <c r="F31" s="18">
        <v>0</v>
      </c>
      <c r="G31" s="18">
        <v>0</v>
      </c>
      <c r="H31" s="18">
        <f t="shared" si="0"/>
        <v>0</v>
      </c>
      <c r="I31" s="25">
        <f t="shared" ref="I31:I32" si="1">SUM(B31:G31)</f>
        <v>0</v>
      </c>
      <c r="J31" s="28">
        <f>7000-I31</f>
        <v>7000</v>
      </c>
    </row>
    <row r="32" spans="1:10">
      <c r="A32" s="4" t="s">
        <v>8</v>
      </c>
      <c r="B32" s="24">
        <v>-3.5527136788005009E-15</v>
      </c>
      <c r="C32" s="24">
        <v>0</v>
      </c>
      <c r="D32" s="24">
        <v>0</v>
      </c>
      <c r="E32" s="24">
        <v>0</v>
      </c>
      <c r="F32" s="24">
        <v>1008.5024999999983</v>
      </c>
      <c r="G32" s="24">
        <v>1442.5600000000006</v>
      </c>
      <c r="H32" s="18">
        <f t="shared" si="0"/>
        <v>1</v>
      </c>
      <c r="I32" s="25">
        <f t="shared" si="1"/>
        <v>2451.0624999999991</v>
      </c>
      <c r="J32" s="28">
        <f>7500-I32</f>
        <v>5048.9375000000009</v>
      </c>
    </row>
    <row r="33" spans="1:10">
      <c r="A33" s="4" t="s">
        <v>35</v>
      </c>
      <c r="B33" s="25">
        <f>SUM(B29:B32)</f>
        <v>1064.6125</v>
      </c>
      <c r="C33" s="25">
        <f t="shared" ref="C33:G33" si="2">SUM(C29:C32)</f>
        <v>1442.5599999999997</v>
      </c>
      <c r="D33" s="25">
        <f t="shared" si="2"/>
        <v>2483.9999999999991</v>
      </c>
      <c r="E33" s="25">
        <f t="shared" si="2"/>
        <v>800.62999999999965</v>
      </c>
      <c r="F33" s="25">
        <f t="shared" si="2"/>
        <v>1216.6999999999998</v>
      </c>
      <c r="G33" s="25">
        <f t="shared" si="2"/>
        <v>1442.5600000000006</v>
      </c>
    </row>
    <row r="34" spans="1:10">
      <c r="A34" s="4" t="s">
        <v>36</v>
      </c>
      <c r="B34" s="28">
        <f>B14-B33</f>
        <v>0</v>
      </c>
      <c r="C34" s="28">
        <f t="shared" ref="C34:G34" si="3">C14-C33</f>
        <v>0</v>
      </c>
      <c r="D34" s="28">
        <f t="shared" si="3"/>
        <v>0</v>
      </c>
      <c r="E34" s="28">
        <f t="shared" si="3"/>
        <v>0</v>
      </c>
      <c r="F34" s="28">
        <f t="shared" si="3"/>
        <v>0</v>
      </c>
      <c r="G34" s="28">
        <f t="shared" si="3"/>
        <v>0</v>
      </c>
    </row>
    <row r="37" spans="1:10">
      <c r="B37" s="41" t="s">
        <v>37</v>
      </c>
      <c r="C37" s="41"/>
      <c r="D37" s="41"/>
      <c r="E37" s="41"/>
      <c r="F37" s="41"/>
      <c r="G37" s="41"/>
      <c r="H37" s="41"/>
    </row>
    <row r="38" spans="1:10" ht="30">
      <c r="A38" s="12" t="s">
        <v>31</v>
      </c>
      <c r="B38" s="3" t="s">
        <v>23</v>
      </c>
      <c r="C38" s="3" t="s">
        <v>2</v>
      </c>
      <c r="D38" s="3" t="s">
        <v>3</v>
      </c>
      <c r="E38" s="3" t="s">
        <v>4</v>
      </c>
      <c r="F38" s="3" t="s">
        <v>24</v>
      </c>
      <c r="G38" s="3" t="s">
        <v>5</v>
      </c>
      <c r="H38" s="10" t="s">
        <v>32</v>
      </c>
      <c r="I38" s="10" t="s">
        <v>33</v>
      </c>
      <c r="J38" s="10" t="s">
        <v>34</v>
      </c>
    </row>
    <row r="39" spans="1:10">
      <c r="A39" t="s">
        <v>10</v>
      </c>
      <c r="B39" s="24">
        <v>608.34999999999968</v>
      </c>
      <c r="C39" s="24">
        <v>1009.7920000000004</v>
      </c>
      <c r="D39" s="24">
        <v>1655.9999999999998</v>
      </c>
      <c r="E39" s="24">
        <v>480.3780000000001</v>
      </c>
      <c r="F39" s="24">
        <v>245.4800008863366</v>
      </c>
      <c r="G39" s="24">
        <v>0</v>
      </c>
      <c r="H39" s="18">
        <f>IF(I39&gt;0,1,0)</f>
        <v>1</v>
      </c>
      <c r="I39" s="25">
        <f>SUM(B39:G39)</f>
        <v>4000.0000008863367</v>
      </c>
      <c r="J39" s="19">
        <f>4000-I39</f>
        <v>-8.8633669292903505E-7</v>
      </c>
    </row>
    <row r="40" spans="1:10">
      <c r="A40" t="s">
        <v>6</v>
      </c>
      <c r="B40" s="18">
        <v>0</v>
      </c>
      <c r="C40" s="18">
        <v>0</v>
      </c>
      <c r="D40" s="18">
        <v>0</v>
      </c>
      <c r="E40" s="18">
        <v>0</v>
      </c>
      <c r="F40" s="18">
        <v>0</v>
      </c>
      <c r="G40" s="18">
        <v>0</v>
      </c>
      <c r="H40" s="18">
        <f t="shared" ref="H40:H42" si="4">IF(I40&gt;0,1,0)</f>
        <v>0</v>
      </c>
      <c r="I40" s="25">
        <f t="shared" ref="I40:I42" si="5">SUM(B40:G40)</f>
        <v>0</v>
      </c>
      <c r="J40" s="28">
        <f>4500-I40</f>
        <v>4500</v>
      </c>
    </row>
    <row r="41" spans="1:10">
      <c r="A41" t="s">
        <v>7</v>
      </c>
      <c r="B41" s="18">
        <v>0</v>
      </c>
      <c r="C41" s="18">
        <v>0</v>
      </c>
      <c r="D41" s="18">
        <v>0</v>
      </c>
      <c r="E41" s="18">
        <v>0</v>
      </c>
      <c r="F41" s="18">
        <v>0</v>
      </c>
      <c r="G41" s="18">
        <v>0</v>
      </c>
      <c r="H41" s="18">
        <f t="shared" si="4"/>
        <v>0</v>
      </c>
      <c r="I41" s="25">
        <f t="shared" si="5"/>
        <v>0</v>
      </c>
      <c r="J41" s="28">
        <f>5200-I41</f>
        <v>5200</v>
      </c>
    </row>
    <row r="42" spans="1:10">
      <c r="A42" t="s">
        <v>8</v>
      </c>
      <c r="B42" s="24">
        <v>0</v>
      </c>
      <c r="C42" s="24">
        <v>0</v>
      </c>
      <c r="D42" s="24">
        <v>0</v>
      </c>
      <c r="E42" s="24">
        <v>0</v>
      </c>
      <c r="F42" s="24">
        <v>438.91374911366336</v>
      </c>
      <c r="G42" s="24">
        <v>1081.9199999999998</v>
      </c>
      <c r="H42" s="18">
        <f t="shared" si="4"/>
        <v>1</v>
      </c>
      <c r="I42" s="25">
        <f t="shared" si="5"/>
        <v>1520.8337491136631</v>
      </c>
      <c r="J42" s="28">
        <f>5500-I42</f>
        <v>3979.1662508863369</v>
      </c>
    </row>
    <row r="43" spans="1:10">
      <c r="A43" t="s">
        <v>35</v>
      </c>
      <c r="B43" s="26">
        <f>SUM(B39:B42)</f>
        <v>608.34999999999968</v>
      </c>
      <c r="C43" s="26">
        <f t="shared" ref="C43:G43" si="6">SUM(C39:C42)</f>
        <v>1009.7920000000004</v>
      </c>
      <c r="D43" s="26">
        <f t="shared" si="6"/>
        <v>1655.9999999999998</v>
      </c>
      <c r="E43" s="26">
        <f t="shared" si="6"/>
        <v>480.3780000000001</v>
      </c>
      <c r="F43" s="26">
        <f t="shared" si="6"/>
        <v>684.39374999999995</v>
      </c>
      <c r="G43" s="26">
        <f t="shared" si="6"/>
        <v>1081.9199999999998</v>
      </c>
      <c r="I43" s="21"/>
    </row>
    <row r="44" spans="1:10">
      <c r="A44" t="s">
        <v>36</v>
      </c>
      <c r="B44" s="28">
        <f>B15-B43</f>
        <v>0</v>
      </c>
      <c r="C44" s="28">
        <f t="shared" ref="C44:G44" si="7">C15-C43</f>
        <v>0</v>
      </c>
      <c r="D44" s="28">
        <f t="shared" si="7"/>
        <v>0</v>
      </c>
      <c r="E44" s="28">
        <f t="shared" si="7"/>
        <v>0</v>
      </c>
      <c r="F44" s="28">
        <f t="shared" si="7"/>
        <v>0</v>
      </c>
      <c r="G44" s="28">
        <f t="shared" si="7"/>
        <v>0</v>
      </c>
    </row>
    <row r="47" spans="1:10">
      <c r="A47" s="42" t="s">
        <v>38</v>
      </c>
      <c r="B47" s="42"/>
    </row>
    <row r="48" spans="1:10">
      <c r="A48" s="4" t="s">
        <v>14</v>
      </c>
      <c r="B48" s="15">
        <f>(IF(I29&gt;0,B6)+(IF(I30&gt;0,B7)+(IF(I31&gt;0,B8)+(IF(I32&gt;0,B9)))))+(IF(I39&gt;0,E6)+(IF(I40&gt;0,E7)+(IF(I41&gt;0,E8)+(IF(I42&gt;0,E9)))))</f>
        <v>1060000</v>
      </c>
      <c r="D48" t="s">
        <v>28</v>
      </c>
    </row>
    <row r="49" spans="1:5">
      <c r="A49" s="4" t="s">
        <v>39</v>
      </c>
      <c r="B49" s="16">
        <f>(((SUM(B29:G29)*C6)+(SUM(B29:G29)*F6))+((SUM(B30:G30)*C7)+(SUM(B30:G30)*F7))+((SUM(B31:G31)*C8)+(SUM(B31:G31)*F8))+((SUM(B32:G32)*C9)+(SUM(B32:G32)*F9)))*360</f>
        <v>2345667.7499999995</v>
      </c>
      <c r="D49" s="1"/>
      <c r="E49" t="s">
        <v>40</v>
      </c>
    </row>
    <row r="50" spans="1:5">
      <c r="A50" s="4" t="s">
        <v>41</v>
      </c>
      <c r="B50" s="15">
        <f>360*(((SUMPRODUCT(B29:G29,B21:G21)+SUMPRODUCT(B39:G39,B21:G21))+((SUMPRODUCT(B30:G30,B22:G22)+SUMPRODUCT(B40:G40,B22:G22))+((SUMPRODUCT(B31:G31,B23:G23)+SUMPRODUCT(B41:G41,B23:G23))+((SUMPRODUCT(B32:G32,B24:G24)+SUMPRODUCT(B42:G42,B24:G24)))))))</f>
        <v>797789.46675920091</v>
      </c>
      <c r="D50" s="13"/>
      <c r="E50" t="s">
        <v>13</v>
      </c>
    </row>
    <row r="51" spans="1:5">
      <c r="A51" s="4" t="s">
        <v>43</v>
      </c>
      <c r="B51" s="15">
        <f>SUM(B48:B50)</f>
        <v>4203457.2167592002</v>
      </c>
      <c r="D51" s="14"/>
      <c r="E51" t="s">
        <v>42</v>
      </c>
    </row>
  </sheetData>
  <mergeCells count="8">
    <mergeCell ref="B37:H37"/>
    <mergeCell ref="A47:B47"/>
    <mergeCell ref="B3:G3"/>
    <mergeCell ref="B4:D4"/>
    <mergeCell ref="E4:G4"/>
    <mergeCell ref="B12:G12"/>
    <mergeCell ref="B19:G19"/>
    <mergeCell ref="B27:H27"/>
  </mergeCell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J38"/>
  <sheetViews>
    <sheetView workbookViewId="0"/>
  </sheetViews>
  <sheetFormatPr defaultRowHeight="15"/>
  <cols>
    <col min="2" max="2" width="15" customWidth="1"/>
    <col min="3" max="3" width="11.140625" customWidth="1"/>
    <col min="4" max="4" width="11.42578125" customWidth="1"/>
    <col min="5" max="5" width="11.28515625" customWidth="1"/>
    <col min="7" max="7" width="12.42578125" customWidth="1"/>
    <col min="9" max="9" width="12.42578125" customWidth="1"/>
  </cols>
  <sheetData>
    <row r="1" spans="1:10">
      <c r="A1" t="s">
        <v>50</v>
      </c>
    </row>
    <row r="2" spans="1:10">
      <c r="A2" t="s">
        <v>45</v>
      </c>
    </row>
    <row r="3" spans="1:10" ht="15.75" thickBot="1"/>
    <row r="4" spans="1:10">
      <c r="A4" s="45" t="s">
        <v>46</v>
      </c>
      <c r="B4" s="31"/>
      <c r="C4" s="47" t="s">
        <v>48</v>
      </c>
      <c r="D4" s="47"/>
      <c r="E4" s="47"/>
      <c r="F4" s="47"/>
      <c r="G4" s="47"/>
      <c r="H4" s="47"/>
      <c r="I4" s="31"/>
      <c r="J4" s="32"/>
    </row>
    <row r="5" spans="1:10" ht="45">
      <c r="A5" s="46"/>
      <c r="B5" s="8" t="s">
        <v>31</v>
      </c>
      <c r="C5" s="3" t="s">
        <v>23</v>
      </c>
      <c r="D5" s="3" t="s">
        <v>2</v>
      </c>
      <c r="E5" s="3" t="s">
        <v>3</v>
      </c>
      <c r="F5" s="3" t="s">
        <v>4</v>
      </c>
      <c r="G5" s="3" t="s">
        <v>24</v>
      </c>
      <c r="H5" s="3" t="s">
        <v>5</v>
      </c>
      <c r="I5" s="10" t="s">
        <v>33</v>
      </c>
      <c r="J5" s="33"/>
    </row>
    <row r="6" spans="1:10">
      <c r="A6" s="46"/>
      <c r="B6" s="4" t="s">
        <v>10</v>
      </c>
      <c r="C6" s="24">
        <v>805.00000005123297</v>
      </c>
      <c r="D6" s="18">
        <v>1120.0000000000034</v>
      </c>
      <c r="E6" s="18">
        <v>1799.9999999846921</v>
      </c>
      <c r="F6" s="18">
        <v>590.00000000655325</v>
      </c>
      <c r="G6" s="18">
        <v>919.99999999999943</v>
      </c>
      <c r="H6" s="18">
        <v>764.99999995751853</v>
      </c>
      <c r="I6" s="17">
        <f>SUM(C6:H6)</f>
        <v>5999.9999999999991</v>
      </c>
      <c r="J6" s="33"/>
    </row>
    <row r="7" spans="1:10">
      <c r="A7" s="46"/>
      <c r="B7" s="4" t="s">
        <v>8</v>
      </c>
      <c r="C7" s="18">
        <v>0</v>
      </c>
      <c r="D7" s="18">
        <v>0</v>
      </c>
      <c r="E7" s="18">
        <v>0</v>
      </c>
      <c r="F7" s="18">
        <v>0</v>
      </c>
      <c r="G7" s="18">
        <v>0</v>
      </c>
      <c r="H7" s="18">
        <v>355.00000004248221</v>
      </c>
      <c r="I7" s="25">
        <f>SUM(C7:H7)</f>
        <v>355.00000004248221</v>
      </c>
      <c r="J7" s="33"/>
    </row>
    <row r="8" spans="1:10">
      <c r="A8" s="46"/>
      <c r="B8" s="20"/>
      <c r="C8" s="20"/>
      <c r="D8" s="20"/>
      <c r="E8" s="20"/>
      <c r="F8" s="20"/>
      <c r="G8" s="20"/>
      <c r="H8" s="20"/>
      <c r="I8" s="20"/>
      <c r="J8" s="33"/>
    </row>
    <row r="9" spans="1:10">
      <c r="A9" s="46"/>
      <c r="B9" s="20"/>
      <c r="C9" s="20"/>
      <c r="D9" s="20"/>
      <c r="E9" s="20"/>
      <c r="F9" s="20"/>
      <c r="G9" s="20"/>
      <c r="H9" s="20"/>
      <c r="I9" s="20"/>
      <c r="J9" s="33"/>
    </row>
    <row r="10" spans="1:10">
      <c r="A10" s="46"/>
      <c r="B10" s="44" t="s">
        <v>49</v>
      </c>
      <c r="C10" s="44"/>
      <c r="D10" s="44"/>
      <c r="E10" s="44"/>
      <c r="F10" s="44"/>
      <c r="G10" s="44"/>
      <c r="H10" s="44"/>
      <c r="I10" s="44"/>
      <c r="J10" s="33"/>
    </row>
    <row r="11" spans="1:10" ht="45">
      <c r="A11" s="46"/>
      <c r="B11" s="12" t="s">
        <v>31</v>
      </c>
      <c r="C11" s="3" t="s">
        <v>23</v>
      </c>
      <c r="D11" s="3" t="s">
        <v>2</v>
      </c>
      <c r="E11" s="3" t="s">
        <v>3</v>
      </c>
      <c r="F11" s="3" t="s">
        <v>4</v>
      </c>
      <c r="G11" s="3" t="s">
        <v>24</v>
      </c>
      <c r="H11" s="3" t="s">
        <v>5</v>
      </c>
      <c r="I11" s="10" t="s">
        <v>33</v>
      </c>
      <c r="J11" s="33"/>
    </row>
    <row r="12" spans="1:10">
      <c r="A12" s="46"/>
      <c r="B12" s="20" t="s">
        <v>10</v>
      </c>
      <c r="C12" s="18">
        <v>459.99999999999994</v>
      </c>
      <c r="D12" s="18">
        <v>784.00000000000011</v>
      </c>
      <c r="E12" s="24">
        <v>1200.0000009843989</v>
      </c>
      <c r="F12" s="18">
        <v>354.00000002448132</v>
      </c>
      <c r="G12" s="24">
        <v>517.49999989679236</v>
      </c>
      <c r="H12" s="24">
        <v>684.49999909432665</v>
      </c>
      <c r="I12" s="17">
        <f>SUM(C12:H12)</f>
        <v>3999.9999999999991</v>
      </c>
      <c r="J12" s="33"/>
    </row>
    <row r="13" spans="1:10">
      <c r="A13" s="46"/>
      <c r="B13" s="20" t="s">
        <v>8</v>
      </c>
      <c r="C13" s="18">
        <v>0</v>
      </c>
      <c r="D13" s="18">
        <v>0</v>
      </c>
      <c r="E13" s="18">
        <v>0</v>
      </c>
      <c r="F13" s="18">
        <v>0</v>
      </c>
      <c r="G13" s="18">
        <v>0</v>
      </c>
      <c r="H13" s="24">
        <v>155.5000009056732</v>
      </c>
      <c r="I13" s="25">
        <f>SUM(C13:H13)</f>
        <v>155.5000009056732</v>
      </c>
      <c r="J13" s="33"/>
    </row>
    <row r="14" spans="1:10" ht="15.75" thickBot="1">
      <c r="A14" s="34"/>
      <c r="B14" s="35"/>
      <c r="C14" s="35"/>
      <c r="D14" s="35"/>
      <c r="E14" s="35"/>
      <c r="F14" s="35"/>
      <c r="G14" s="35"/>
      <c r="H14" s="35"/>
      <c r="I14" s="35"/>
      <c r="J14" s="36"/>
    </row>
    <row r="15" spans="1:10" ht="15.75" thickBot="1"/>
    <row r="16" spans="1:10">
      <c r="A16" s="45" t="s">
        <v>11</v>
      </c>
      <c r="B16" s="31"/>
      <c r="C16" s="47" t="s">
        <v>48</v>
      </c>
      <c r="D16" s="47"/>
      <c r="E16" s="47"/>
      <c r="F16" s="47"/>
      <c r="G16" s="47"/>
      <c r="H16" s="47"/>
      <c r="I16" s="31"/>
      <c r="J16" s="32"/>
    </row>
    <row r="17" spans="1:10" ht="45">
      <c r="A17" s="46"/>
      <c r="B17" s="37" t="s">
        <v>31</v>
      </c>
      <c r="C17" s="38" t="s">
        <v>23</v>
      </c>
      <c r="D17" s="38" t="s">
        <v>2</v>
      </c>
      <c r="E17" s="38" t="s">
        <v>3</v>
      </c>
      <c r="F17" s="38" t="s">
        <v>4</v>
      </c>
      <c r="G17" s="38" t="s">
        <v>24</v>
      </c>
      <c r="H17" s="38" t="s">
        <v>5</v>
      </c>
      <c r="I17" s="39" t="s">
        <v>33</v>
      </c>
      <c r="J17" s="33"/>
    </row>
    <row r="18" spans="1:10">
      <c r="A18" s="46"/>
      <c r="B18" s="4" t="s">
        <v>10</v>
      </c>
      <c r="C18" s="24">
        <v>791.35002278804325</v>
      </c>
      <c r="D18" s="24">
        <v>1119.9999468279011</v>
      </c>
      <c r="E18" s="24">
        <v>1841.8500076384944</v>
      </c>
      <c r="F18" s="24">
        <v>561.80002278804329</v>
      </c>
      <c r="G18" s="24">
        <v>919.99999999999943</v>
      </c>
      <c r="H18" s="24">
        <v>764.99999995751853</v>
      </c>
      <c r="I18" s="17">
        <f>SUM(C18:H18)</f>
        <v>5999.9999999999991</v>
      </c>
      <c r="J18" s="33"/>
    </row>
    <row r="19" spans="1:10">
      <c r="A19" s="46"/>
      <c r="B19" s="4" t="s">
        <v>8</v>
      </c>
      <c r="C19" s="24">
        <v>134.39997721195661</v>
      </c>
      <c r="D19" s="24">
        <v>134.40005317209895</v>
      </c>
      <c r="E19" s="24">
        <v>134.40005317209895</v>
      </c>
      <c r="F19" s="24">
        <v>134.39997721195661</v>
      </c>
      <c r="G19" s="24">
        <v>134.39997721195661</v>
      </c>
      <c r="H19" s="24">
        <v>489.40000004248157</v>
      </c>
      <c r="I19" s="25">
        <f>SUM(C19:H19)</f>
        <v>1161.4000380225493</v>
      </c>
      <c r="J19" s="33"/>
    </row>
    <row r="20" spans="1:10">
      <c r="A20" s="46"/>
      <c r="B20" s="20"/>
      <c r="C20" s="20"/>
      <c r="D20" s="20"/>
      <c r="E20" s="20"/>
      <c r="F20" s="20"/>
      <c r="G20" s="20"/>
      <c r="H20" s="20"/>
      <c r="I20" s="20"/>
      <c r="J20" s="33"/>
    </row>
    <row r="21" spans="1:10">
      <c r="A21" s="46"/>
      <c r="B21" s="20"/>
      <c r="C21" s="20"/>
      <c r="D21" s="20"/>
      <c r="E21" s="20"/>
      <c r="F21" s="20"/>
      <c r="G21" s="20"/>
      <c r="H21" s="20"/>
      <c r="I21" s="20"/>
      <c r="J21" s="33"/>
    </row>
    <row r="22" spans="1:10">
      <c r="A22" s="46"/>
      <c r="B22" s="44" t="s">
        <v>37</v>
      </c>
      <c r="C22" s="44"/>
      <c r="D22" s="44"/>
      <c r="E22" s="44"/>
      <c r="F22" s="44"/>
      <c r="G22" s="44"/>
      <c r="H22" s="44"/>
      <c r="I22" s="44"/>
      <c r="J22" s="33"/>
    </row>
    <row r="23" spans="1:10" ht="45">
      <c r="A23" s="46"/>
      <c r="B23" s="12" t="s">
        <v>31</v>
      </c>
      <c r="C23" s="3" t="s">
        <v>23</v>
      </c>
      <c r="D23" s="3" t="s">
        <v>2</v>
      </c>
      <c r="E23" s="3" t="s">
        <v>3</v>
      </c>
      <c r="F23" s="3" t="s">
        <v>4</v>
      </c>
      <c r="G23" s="3" t="s">
        <v>24</v>
      </c>
      <c r="H23" s="3" t="s">
        <v>5</v>
      </c>
      <c r="I23" s="10" t="s">
        <v>33</v>
      </c>
      <c r="J23" s="33"/>
    </row>
    <row r="24" spans="1:10">
      <c r="A24" s="46"/>
      <c r="B24" s="20" t="s">
        <v>10</v>
      </c>
      <c r="C24" s="24">
        <v>421.46249128892862</v>
      </c>
      <c r="D24" s="24">
        <v>770.54252926900006</v>
      </c>
      <c r="E24" s="24">
        <v>1332.4624533088577</v>
      </c>
      <c r="F24" s="24">
        <v>310.18249128892865</v>
      </c>
      <c r="G24" s="24">
        <v>487.58752926899984</v>
      </c>
      <c r="H24" s="24">
        <v>677.76250557528419</v>
      </c>
      <c r="I24" s="17">
        <f>SUM(C24:H24)</f>
        <v>3999.9999999999991</v>
      </c>
      <c r="J24" s="33"/>
    </row>
    <row r="25" spans="1:10">
      <c r="A25" s="46"/>
      <c r="B25" s="20" t="s">
        <v>8</v>
      </c>
      <c r="C25" s="24">
        <v>107.53750871107123</v>
      </c>
      <c r="D25" s="24">
        <v>107.53747073100006</v>
      </c>
      <c r="E25" s="24">
        <v>107.5375466911424</v>
      </c>
      <c r="F25" s="24">
        <v>107.53750871107123</v>
      </c>
      <c r="G25" s="24">
        <v>107.53747073100006</v>
      </c>
      <c r="H25" s="24">
        <v>263.03749442471593</v>
      </c>
      <c r="I25" s="25">
        <f>SUM(C25:H25)</f>
        <v>800.72500000000082</v>
      </c>
      <c r="J25" s="33"/>
    </row>
    <row r="26" spans="1:10" ht="15.75" thickBot="1">
      <c r="A26" s="34"/>
      <c r="B26" s="35"/>
      <c r="C26" s="35"/>
      <c r="D26" s="35"/>
      <c r="E26" s="35"/>
      <c r="F26" s="35"/>
      <c r="G26" s="35"/>
      <c r="H26" s="35"/>
      <c r="I26" s="35"/>
      <c r="J26" s="36"/>
    </row>
    <row r="27" spans="1:10" ht="15.75" thickBot="1"/>
    <row r="28" spans="1:10">
      <c r="A28" s="45" t="s">
        <v>12</v>
      </c>
      <c r="B28" s="31"/>
      <c r="C28" s="47" t="s">
        <v>47</v>
      </c>
      <c r="D28" s="47"/>
      <c r="E28" s="47"/>
      <c r="F28" s="47"/>
      <c r="G28" s="47"/>
      <c r="H28" s="47"/>
      <c r="I28" s="31"/>
      <c r="J28" s="32"/>
    </row>
    <row r="29" spans="1:10" ht="45">
      <c r="A29" s="46"/>
      <c r="B29" s="37" t="s">
        <v>31</v>
      </c>
      <c r="C29" s="38" t="s">
        <v>23</v>
      </c>
      <c r="D29" s="38" t="s">
        <v>2</v>
      </c>
      <c r="E29" s="38" t="s">
        <v>3</v>
      </c>
      <c r="F29" s="38" t="s">
        <v>4</v>
      </c>
      <c r="G29" s="38" t="s">
        <v>24</v>
      </c>
      <c r="H29" s="38" t="s">
        <v>5</v>
      </c>
      <c r="I29" s="39" t="s">
        <v>33</v>
      </c>
      <c r="J29" s="33"/>
    </row>
    <row r="30" spans="1:10">
      <c r="A30" s="46"/>
      <c r="B30" s="4" t="s">
        <v>10</v>
      </c>
      <c r="C30" s="24">
        <v>1064.6125</v>
      </c>
      <c r="D30" s="24">
        <v>1442.5599999999997</v>
      </c>
      <c r="E30" s="24">
        <v>2483.9999999999991</v>
      </c>
      <c r="F30" s="24">
        <v>800.62999999999965</v>
      </c>
      <c r="G30" s="24">
        <v>208.1975000000015</v>
      </c>
      <c r="H30" s="24">
        <v>0</v>
      </c>
      <c r="I30" s="17">
        <f>SUM(C30:H30)</f>
        <v>5999.9999999999991</v>
      </c>
      <c r="J30" s="33"/>
    </row>
    <row r="31" spans="1:10">
      <c r="A31" s="46"/>
      <c r="B31" s="4" t="s">
        <v>8</v>
      </c>
      <c r="C31" s="24">
        <v>-3.5527136788005009E-15</v>
      </c>
      <c r="D31" s="24">
        <v>0</v>
      </c>
      <c r="E31" s="24">
        <v>0</v>
      </c>
      <c r="F31" s="24">
        <v>0</v>
      </c>
      <c r="G31" s="24">
        <v>1008.5024999999983</v>
      </c>
      <c r="H31" s="24">
        <v>1442.5600000000006</v>
      </c>
      <c r="I31" s="25">
        <f>SUM(C31:H31)</f>
        <v>2451.0624999999991</v>
      </c>
      <c r="J31" s="33"/>
    </row>
    <row r="32" spans="1:10">
      <c r="A32" s="46"/>
      <c r="B32" s="20"/>
      <c r="C32" s="20"/>
      <c r="D32" s="20"/>
      <c r="E32" s="20"/>
      <c r="F32" s="20"/>
      <c r="G32" s="20"/>
      <c r="H32" s="20"/>
      <c r="I32" s="20"/>
      <c r="J32" s="33"/>
    </row>
    <row r="33" spans="1:10">
      <c r="A33" s="46"/>
      <c r="B33" s="20"/>
      <c r="C33" s="20"/>
      <c r="D33" s="20"/>
      <c r="E33" s="20"/>
      <c r="F33" s="20"/>
      <c r="G33" s="20"/>
      <c r="H33" s="20"/>
      <c r="I33" s="20"/>
      <c r="J33" s="33"/>
    </row>
    <row r="34" spans="1:10">
      <c r="A34" s="46"/>
      <c r="B34" s="44" t="s">
        <v>49</v>
      </c>
      <c r="C34" s="44"/>
      <c r="D34" s="44"/>
      <c r="E34" s="44"/>
      <c r="F34" s="44"/>
      <c r="G34" s="44"/>
      <c r="H34" s="44"/>
      <c r="I34" s="44"/>
      <c r="J34" s="33"/>
    </row>
    <row r="35" spans="1:10" ht="45">
      <c r="A35" s="46"/>
      <c r="B35" s="40" t="s">
        <v>31</v>
      </c>
      <c r="C35" s="38" t="s">
        <v>23</v>
      </c>
      <c r="D35" s="38" t="s">
        <v>2</v>
      </c>
      <c r="E35" s="38" t="s">
        <v>3</v>
      </c>
      <c r="F35" s="38" t="s">
        <v>4</v>
      </c>
      <c r="G35" s="38" t="s">
        <v>24</v>
      </c>
      <c r="H35" s="38" t="s">
        <v>5</v>
      </c>
      <c r="I35" s="39" t="s">
        <v>33</v>
      </c>
      <c r="J35" s="33"/>
    </row>
    <row r="36" spans="1:10">
      <c r="A36" s="46"/>
      <c r="B36" s="20" t="s">
        <v>10</v>
      </c>
      <c r="C36" s="24">
        <v>608.34999999999968</v>
      </c>
      <c r="D36" s="24">
        <v>1009.7920000000004</v>
      </c>
      <c r="E36" s="24">
        <v>1655.9999999999998</v>
      </c>
      <c r="F36" s="24">
        <v>480.3780000000001</v>
      </c>
      <c r="G36" s="24">
        <v>245.4800008863366</v>
      </c>
      <c r="H36" s="24">
        <v>0</v>
      </c>
      <c r="I36" s="17">
        <f>SUM(C36:H36)</f>
        <v>4000.0000008863367</v>
      </c>
      <c r="J36" s="33"/>
    </row>
    <row r="37" spans="1:10">
      <c r="A37" s="46"/>
      <c r="B37" s="20" t="s">
        <v>8</v>
      </c>
      <c r="C37" s="24">
        <v>0</v>
      </c>
      <c r="D37" s="24">
        <v>0</v>
      </c>
      <c r="E37" s="24">
        <v>0</v>
      </c>
      <c r="F37" s="24">
        <v>0</v>
      </c>
      <c r="G37" s="24">
        <v>438.91374911366336</v>
      </c>
      <c r="H37" s="24">
        <v>1081.9199999999998</v>
      </c>
      <c r="I37" s="25">
        <f>SUM(C37:H37)</f>
        <v>1520.8337491136631</v>
      </c>
      <c r="J37" s="33"/>
    </row>
    <row r="38" spans="1:10" ht="15.75" thickBot="1">
      <c r="A38" s="34"/>
      <c r="B38" s="35"/>
      <c r="C38" s="35"/>
      <c r="D38" s="35"/>
      <c r="E38" s="35"/>
      <c r="F38" s="35"/>
      <c r="G38" s="35"/>
      <c r="H38" s="35"/>
      <c r="I38" s="35"/>
      <c r="J38" s="36"/>
    </row>
  </sheetData>
  <mergeCells count="9">
    <mergeCell ref="A28:A37"/>
    <mergeCell ref="C28:H28"/>
    <mergeCell ref="B34:I34"/>
    <mergeCell ref="C4:H4"/>
    <mergeCell ref="B10:I10"/>
    <mergeCell ref="A4:A13"/>
    <mergeCell ref="A16:A25"/>
    <mergeCell ref="C16:H16"/>
    <mergeCell ref="B22:I22"/>
  </mergeCell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3:J52"/>
  <sheetViews>
    <sheetView topLeftCell="A17" workbookViewId="0">
      <selection activeCell="A17" sqref="A1:XFD1048576"/>
    </sheetView>
  </sheetViews>
  <sheetFormatPr defaultRowHeight="15"/>
  <cols>
    <col min="1" max="1" width="18.140625" customWidth="1"/>
    <col min="2" max="2" width="17.7109375" customWidth="1"/>
    <col min="3" max="7" width="12.7109375" customWidth="1"/>
    <col min="8" max="8" width="14.140625" customWidth="1"/>
    <col min="9" max="9" width="13.7109375" customWidth="1"/>
  </cols>
  <sheetData>
    <row r="3" spans="1:7">
      <c r="B3" s="42" t="s">
        <v>15</v>
      </c>
      <c r="C3" s="42"/>
      <c r="D3" s="42"/>
      <c r="E3" s="42"/>
      <c r="F3" s="42"/>
      <c r="G3" s="42"/>
    </row>
    <row r="4" spans="1:7">
      <c r="B4" s="43" t="s">
        <v>0</v>
      </c>
      <c r="C4" s="43"/>
      <c r="D4" s="43"/>
      <c r="E4" s="43" t="s">
        <v>1</v>
      </c>
      <c r="F4" s="43"/>
      <c r="G4" s="43"/>
    </row>
    <row r="5" spans="1:7" ht="30">
      <c r="A5" s="2" t="s">
        <v>16</v>
      </c>
      <c r="B5" s="3" t="s">
        <v>17</v>
      </c>
      <c r="C5" s="3" t="s">
        <v>18</v>
      </c>
      <c r="D5" s="3" t="s">
        <v>19</v>
      </c>
      <c r="E5" s="3" t="s">
        <v>17</v>
      </c>
      <c r="F5" s="3" t="s">
        <v>20</v>
      </c>
      <c r="G5" s="3" t="s">
        <v>19</v>
      </c>
    </row>
    <row r="6" spans="1:7">
      <c r="A6" s="4" t="s">
        <v>10</v>
      </c>
      <c r="B6" s="5">
        <v>200000</v>
      </c>
      <c r="C6" s="5">
        <v>0.3</v>
      </c>
      <c r="D6" s="6">
        <v>6000</v>
      </c>
      <c r="E6" s="5">
        <v>300000</v>
      </c>
      <c r="F6" s="5">
        <v>0.5</v>
      </c>
      <c r="G6" s="6">
        <v>4000</v>
      </c>
    </row>
    <row r="7" spans="1:7">
      <c r="A7" s="4" t="s">
        <v>6</v>
      </c>
      <c r="B7" s="5">
        <v>220000</v>
      </c>
      <c r="C7" s="5">
        <v>0.25</v>
      </c>
      <c r="D7" s="6">
        <v>6000</v>
      </c>
      <c r="E7" s="5">
        <v>300000</v>
      </c>
      <c r="F7" s="5">
        <v>0.45</v>
      </c>
      <c r="G7" s="6">
        <v>4500</v>
      </c>
    </row>
    <row r="8" spans="1:7">
      <c r="A8" s="4" t="s">
        <v>7</v>
      </c>
      <c r="B8" s="5">
        <v>240000</v>
      </c>
      <c r="C8" s="5">
        <v>0.25</v>
      </c>
      <c r="D8" s="6">
        <v>7000</v>
      </c>
      <c r="E8" s="5">
        <v>320000</v>
      </c>
      <c r="F8" s="5">
        <v>0.45</v>
      </c>
      <c r="G8" s="6">
        <v>5200</v>
      </c>
    </row>
    <row r="9" spans="1:7">
      <c r="A9" s="4" t="s">
        <v>8</v>
      </c>
      <c r="B9" s="5">
        <v>240000</v>
      </c>
      <c r="C9" s="5">
        <v>0.25</v>
      </c>
      <c r="D9" s="6">
        <v>7500</v>
      </c>
      <c r="E9" s="5">
        <v>320000</v>
      </c>
      <c r="F9" s="5">
        <v>0.45</v>
      </c>
      <c r="G9" s="6">
        <v>5500</v>
      </c>
    </row>
    <row r="12" spans="1:7">
      <c r="B12" s="42" t="s">
        <v>21</v>
      </c>
      <c r="C12" s="42"/>
      <c r="D12" s="42"/>
      <c r="E12" s="42"/>
      <c r="F12" s="42"/>
      <c r="G12" s="42"/>
    </row>
    <row r="13" spans="1:7" ht="30">
      <c r="A13" s="2" t="s">
        <v>22</v>
      </c>
      <c r="B13" s="3" t="s">
        <v>23</v>
      </c>
      <c r="C13" s="3" t="s">
        <v>2</v>
      </c>
      <c r="D13" s="3" t="s">
        <v>3</v>
      </c>
      <c r="E13" s="3" t="s">
        <v>4</v>
      </c>
      <c r="F13" s="3" t="s">
        <v>24</v>
      </c>
      <c r="G13" s="3" t="s">
        <v>5</v>
      </c>
    </row>
    <row r="14" spans="1:7">
      <c r="A14" s="4" t="s">
        <v>0</v>
      </c>
      <c r="B14" s="29">
        <f>700*1.15</f>
        <v>804.99999999999989</v>
      </c>
      <c r="C14" s="29">
        <f>1000*1.12</f>
        <v>1120</v>
      </c>
      <c r="D14" s="29">
        <f>1500*1.2</f>
        <v>1800</v>
      </c>
      <c r="E14" s="29">
        <f>500*1.18</f>
        <v>590</v>
      </c>
      <c r="F14" s="29">
        <f>800*1.15</f>
        <v>919.99999999999989</v>
      </c>
      <c r="G14" s="29">
        <f>1000*1.12</f>
        <v>1120</v>
      </c>
    </row>
    <row r="15" spans="1:7">
      <c r="A15" s="4" t="s">
        <v>1</v>
      </c>
      <c r="B15" s="29">
        <f>400*1.15</f>
        <v>459.99999999999994</v>
      </c>
      <c r="C15" s="29">
        <f>700*1.12</f>
        <v>784.00000000000011</v>
      </c>
      <c r="D15" s="29">
        <f>1000*1.2</f>
        <v>1200</v>
      </c>
      <c r="E15" s="29">
        <f>300*1.18</f>
        <v>354</v>
      </c>
      <c r="F15" s="30">
        <f>450*1.15</f>
        <v>517.5</v>
      </c>
      <c r="G15" s="29">
        <f>750*1.12</f>
        <v>840.00000000000011</v>
      </c>
    </row>
    <row r="16" spans="1:7">
      <c r="A16" s="4" t="s">
        <v>44</v>
      </c>
      <c r="B16" s="29">
        <f>SUM(B14:B15)</f>
        <v>1264.9999999999998</v>
      </c>
      <c r="C16" s="29">
        <f t="shared" ref="C16:G16" si="0">SUM(C14:C15)</f>
        <v>1904</v>
      </c>
      <c r="D16" s="29">
        <f t="shared" si="0"/>
        <v>3000</v>
      </c>
      <c r="E16" s="29">
        <f t="shared" si="0"/>
        <v>944</v>
      </c>
      <c r="F16" s="30">
        <f t="shared" si="0"/>
        <v>1437.5</v>
      </c>
      <c r="G16" s="29">
        <f t="shared" si="0"/>
        <v>1960</v>
      </c>
    </row>
    <row r="19" spans="1:10">
      <c r="B19" s="44" t="s">
        <v>26</v>
      </c>
      <c r="C19" s="44"/>
      <c r="D19" s="44"/>
      <c r="E19" s="44"/>
      <c r="F19" s="44"/>
      <c r="G19" s="44"/>
    </row>
    <row r="20" spans="1:10" ht="31.5" customHeight="1">
      <c r="A20" s="8" t="s">
        <v>27</v>
      </c>
      <c r="B20" s="3" t="s">
        <v>23</v>
      </c>
      <c r="C20" s="3" t="s">
        <v>2</v>
      </c>
      <c r="D20" s="3" t="s">
        <v>3</v>
      </c>
      <c r="E20" s="3" t="s">
        <v>4</v>
      </c>
      <c r="F20" s="3" t="s">
        <v>24</v>
      </c>
      <c r="G20" s="3" t="s">
        <v>5</v>
      </c>
    </row>
    <row r="21" spans="1:10">
      <c r="A21" s="4" t="s">
        <v>10</v>
      </c>
      <c r="B21" s="5">
        <f>0.1*1.15</f>
        <v>0.11499999999999999</v>
      </c>
      <c r="C21" s="5">
        <f>0.12*1.15</f>
        <v>0.13799999999999998</v>
      </c>
      <c r="D21" s="5">
        <f>0.11*1.15</f>
        <v>0.1265</v>
      </c>
      <c r="E21" s="5">
        <f>0.2*1.15</f>
        <v>0.22999999999999998</v>
      </c>
      <c r="F21" s="5">
        <f>0.22*1.15</f>
        <v>0.253</v>
      </c>
      <c r="G21" s="5">
        <f>0.24*1.15</f>
        <v>0.27599999999999997</v>
      </c>
    </row>
    <row r="22" spans="1:10">
      <c r="A22" s="4" t="s">
        <v>6</v>
      </c>
      <c r="B22" s="5">
        <f>0.1*1.15</f>
        <v>0.11499999999999999</v>
      </c>
      <c r="C22" s="5">
        <f>0.12*1.15</f>
        <v>0.13799999999999998</v>
      </c>
      <c r="D22" s="5">
        <f>0.04*1.15</f>
        <v>4.5999999999999999E-2</v>
      </c>
      <c r="E22" s="5">
        <f>0.12*1.15</f>
        <v>0.13799999999999998</v>
      </c>
      <c r="F22" s="5">
        <f>0.15*1.15</f>
        <v>0.17249999999999999</v>
      </c>
      <c r="G22" s="5">
        <f>0.17*1.15</f>
        <v>0.19550000000000001</v>
      </c>
    </row>
    <row r="23" spans="1:10">
      <c r="A23" s="4" t="s">
        <v>7</v>
      </c>
      <c r="B23" s="5">
        <f>0.18*1.15</f>
        <v>0.20699999999999999</v>
      </c>
      <c r="C23" s="5">
        <f>0.16*1.15</f>
        <v>0.184</v>
      </c>
      <c r="D23" s="5">
        <f>0.05*1.15</f>
        <v>5.7499999999999996E-2</v>
      </c>
      <c r="E23" s="5">
        <f>0.04*1.15</f>
        <v>4.5999999999999999E-2</v>
      </c>
      <c r="F23" s="5">
        <f>0.1*1.15</f>
        <v>0.11499999999999999</v>
      </c>
      <c r="G23" s="5">
        <f>0.11*1.15</f>
        <v>0.1265</v>
      </c>
      <c r="I23" t="s">
        <v>28</v>
      </c>
    </row>
    <row r="24" spans="1:10">
      <c r="A24" s="4" t="s">
        <v>8</v>
      </c>
      <c r="B24" s="5">
        <f>0.22*1.15</f>
        <v>0.253</v>
      </c>
      <c r="C24" s="5">
        <f>0.24*1.15</f>
        <v>0.27599999999999997</v>
      </c>
      <c r="D24" s="5">
        <f>0.1*1.15</f>
        <v>0.11499999999999999</v>
      </c>
      <c r="E24" s="5">
        <f>0.13*1.15</f>
        <v>0.14949999999999999</v>
      </c>
      <c r="F24" s="5">
        <f>0.04*1.15</f>
        <v>4.5999999999999999E-2</v>
      </c>
      <c r="G24" s="5">
        <f>0.05*1.15</f>
        <v>5.7499999999999996E-2</v>
      </c>
      <c r="I24" s="9"/>
      <c r="J24" t="s">
        <v>29</v>
      </c>
    </row>
    <row r="27" spans="1:10">
      <c r="B27" s="41" t="s">
        <v>30</v>
      </c>
      <c r="C27" s="41"/>
      <c r="D27" s="41"/>
      <c r="E27" s="41"/>
      <c r="F27" s="41"/>
      <c r="G27" s="41"/>
      <c r="H27" s="41"/>
    </row>
    <row r="28" spans="1:10" ht="30">
      <c r="A28" s="8" t="s">
        <v>31</v>
      </c>
      <c r="B28" s="3" t="s">
        <v>23</v>
      </c>
      <c r="C28" s="3" t="s">
        <v>2</v>
      </c>
      <c r="D28" s="3" t="s">
        <v>3</v>
      </c>
      <c r="E28" s="3" t="s">
        <v>4</v>
      </c>
      <c r="F28" s="3" t="s">
        <v>24</v>
      </c>
      <c r="G28" s="3" t="s">
        <v>5</v>
      </c>
      <c r="H28" s="10" t="s">
        <v>32</v>
      </c>
      <c r="I28" s="10" t="s">
        <v>33</v>
      </c>
      <c r="J28" s="10" t="s">
        <v>34</v>
      </c>
    </row>
    <row r="29" spans="1:10">
      <c r="A29" s="4" t="s">
        <v>10</v>
      </c>
      <c r="B29" s="24">
        <v>805.00000005123297</v>
      </c>
      <c r="C29" s="18">
        <v>1120.0000000000034</v>
      </c>
      <c r="D29" s="18">
        <v>1799.9999999846921</v>
      </c>
      <c r="E29" s="18">
        <v>590.00000000655325</v>
      </c>
      <c r="F29" s="18">
        <v>919.99999999999943</v>
      </c>
      <c r="G29" s="18">
        <v>764.99999995751853</v>
      </c>
      <c r="H29" s="18">
        <f>IF(I29&gt;0,1,0)</f>
        <v>1</v>
      </c>
      <c r="I29" s="17">
        <f>SUM(B29:G29)</f>
        <v>5999.9999999999991</v>
      </c>
      <c r="J29" s="19">
        <f>6000-I29</f>
        <v>0</v>
      </c>
    </row>
    <row r="30" spans="1:10">
      <c r="A30" s="4" t="s">
        <v>6</v>
      </c>
      <c r="B30" s="18">
        <v>0</v>
      </c>
      <c r="C30" s="18">
        <v>0</v>
      </c>
      <c r="D30" s="18">
        <v>0</v>
      </c>
      <c r="E30" s="18">
        <v>0</v>
      </c>
      <c r="F30" s="18">
        <v>0</v>
      </c>
      <c r="G30" s="18">
        <v>0</v>
      </c>
      <c r="H30" s="18">
        <f t="shared" ref="H30:H32" si="1">IF(I30&gt;0,1,0)</f>
        <v>0</v>
      </c>
      <c r="I30" s="25">
        <f>SUM(B30:G30)</f>
        <v>0</v>
      </c>
      <c r="J30" s="28">
        <f>6000-I30</f>
        <v>6000</v>
      </c>
    </row>
    <row r="31" spans="1:10">
      <c r="A31" s="4" t="s">
        <v>7</v>
      </c>
      <c r="B31" s="18">
        <v>0</v>
      </c>
      <c r="C31" s="18">
        <v>0</v>
      </c>
      <c r="D31" s="18">
        <v>0</v>
      </c>
      <c r="E31" s="18">
        <v>0</v>
      </c>
      <c r="F31" s="18">
        <v>0</v>
      </c>
      <c r="G31" s="18">
        <v>0</v>
      </c>
      <c r="H31" s="18">
        <f t="shared" si="1"/>
        <v>0</v>
      </c>
      <c r="I31" s="25">
        <f t="shared" ref="I31:I32" si="2">SUM(B31:G31)</f>
        <v>0</v>
      </c>
      <c r="J31" s="28">
        <f>7000-I31</f>
        <v>7000</v>
      </c>
    </row>
    <row r="32" spans="1:10">
      <c r="A32" s="4" t="s">
        <v>8</v>
      </c>
      <c r="B32" s="18">
        <v>0</v>
      </c>
      <c r="C32" s="18">
        <v>0</v>
      </c>
      <c r="D32" s="18">
        <v>0</v>
      </c>
      <c r="E32" s="18">
        <v>0</v>
      </c>
      <c r="F32" s="18">
        <v>0</v>
      </c>
      <c r="G32" s="18">
        <v>355.00000004248221</v>
      </c>
      <c r="H32" s="18">
        <f t="shared" si="1"/>
        <v>1</v>
      </c>
      <c r="I32" s="25">
        <f t="shared" si="2"/>
        <v>355.00000004248221</v>
      </c>
      <c r="J32" s="28">
        <f>7500-I32</f>
        <v>7144.9999999575175</v>
      </c>
    </row>
    <row r="33" spans="1:10">
      <c r="A33" s="4" t="s">
        <v>35</v>
      </c>
      <c r="B33" s="25">
        <f>SUM(B29:B32)</f>
        <v>805.00000005123297</v>
      </c>
      <c r="C33" s="25">
        <f t="shared" ref="C33:G33" si="3">SUM(C29:C32)</f>
        <v>1120.0000000000034</v>
      </c>
      <c r="D33" s="25">
        <f t="shared" si="3"/>
        <v>1799.9999999846921</v>
      </c>
      <c r="E33" s="25">
        <f t="shared" si="3"/>
        <v>590.00000000655325</v>
      </c>
      <c r="F33" s="25">
        <f t="shared" si="3"/>
        <v>919.99999999999943</v>
      </c>
      <c r="G33" s="25">
        <f t="shared" si="3"/>
        <v>1120.0000000000007</v>
      </c>
    </row>
    <row r="34" spans="1:10">
      <c r="A34" s="4" t="s">
        <v>36</v>
      </c>
      <c r="B34" s="28">
        <f>B14-B33</f>
        <v>-5.1233087106083985E-8</v>
      </c>
      <c r="C34" s="28">
        <f t="shared" ref="C34:G34" si="4">C14-C33</f>
        <v>-3.4106051316484809E-12</v>
      </c>
      <c r="D34" s="28">
        <f t="shared" si="4"/>
        <v>1.5307932699215598E-8</v>
      </c>
      <c r="E34" s="28">
        <f t="shared" si="4"/>
        <v>-6.5532503867871128E-9</v>
      </c>
      <c r="F34" s="28">
        <f t="shared" si="4"/>
        <v>0</v>
      </c>
      <c r="G34" s="28">
        <f t="shared" si="4"/>
        <v>0</v>
      </c>
    </row>
    <row r="37" spans="1:10">
      <c r="B37" s="41" t="s">
        <v>37</v>
      </c>
      <c r="C37" s="41"/>
      <c r="D37" s="41"/>
      <c r="E37" s="41"/>
      <c r="F37" s="41"/>
      <c r="G37" s="41"/>
      <c r="H37" s="41"/>
    </row>
    <row r="38" spans="1:10" ht="30">
      <c r="A38" s="12" t="s">
        <v>31</v>
      </c>
      <c r="B38" s="3" t="s">
        <v>23</v>
      </c>
      <c r="C38" s="3" t="s">
        <v>2</v>
      </c>
      <c r="D38" s="3" t="s">
        <v>3</v>
      </c>
      <c r="E38" s="3" t="s">
        <v>4</v>
      </c>
      <c r="F38" s="3" t="s">
        <v>24</v>
      </c>
      <c r="G38" s="3" t="s">
        <v>5</v>
      </c>
      <c r="H38" s="10" t="s">
        <v>32</v>
      </c>
      <c r="I38" s="10" t="s">
        <v>33</v>
      </c>
      <c r="J38" s="10" t="s">
        <v>34</v>
      </c>
    </row>
    <row r="39" spans="1:10">
      <c r="A39" t="s">
        <v>10</v>
      </c>
      <c r="B39" s="18">
        <v>459.99999999999994</v>
      </c>
      <c r="C39" s="18">
        <v>784.00000000000011</v>
      </c>
      <c r="D39" s="24">
        <v>1200.0000009843989</v>
      </c>
      <c r="E39" s="18">
        <v>354.00000002448132</v>
      </c>
      <c r="F39" s="24">
        <v>517.49999989679236</v>
      </c>
      <c r="G39" s="24">
        <v>684.49999909432665</v>
      </c>
      <c r="H39" s="18">
        <f>IF(I39&gt;0,1,0)</f>
        <v>1</v>
      </c>
      <c r="I39" s="17">
        <f>SUM(B39:G39)</f>
        <v>3999.9999999999991</v>
      </c>
      <c r="J39" s="19">
        <f>4000-I39</f>
        <v>0</v>
      </c>
    </row>
    <row r="40" spans="1:10">
      <c r="A40" t="s">
        <v>6</v>
      </c>
      <c r="B40" s="18">
        <v>0</v>
      </c>
      <c r="C40" s="18">
        <v>0</v>
      </c>
      <c r="D40" s="18">
        <v>0</v>
      </c>
      <c r="E40" s="18">
        <v>0</v>
      </c>
      <c r="F40" s="18">
        <v>0</v>
      </c>
      <c r="G40" s="18">
        <v>0</v>
      </c>
      <c r="H40" s="18">
        <f t="shared" ref="H40:H42" si="5">IF(I40&gt;0,1,0)</f>
        <v>0</v>
      </c>
      <c r="I40" s="25">
        <f t="shared" ref="I40:I42" si="6">SUM(B40:G40)</f>
        <v>0</v>
      </c>
      <c r="J40" s="28">
        <f>4500-I40</f>
        <v>4500</v>
      </c>
    </row>
    <row r="41" spans="1:10">
      <c r="A41" t="s">
        <v>7</v>
      </c>
      <c r="B41" s="18">
        <v>0</v>
      </c>
      <c r="C41" s="18">
        <v>0</v>
      </c>
      <c r="D41" s="18">
        <v>0</v>
      </c>
      <c r="E41" s="18">
        <v>0</v>
      </c>
      <c r="F41" s="18">
        <v>0</v>
      </c>
      <c r="G41" s="18">
        <v>0</v>
      </c>
      <c r="H41" s="18">
        <f t="shared" si="5"/>
        <v>0</v>
      </c>
      <c r="I41" s="25">
        <f t="shared" si="6"/>
        <v>0</v>
      </c>
      <c r="J41" s="28">
        <f>5200-I41</f>
        <v>5200</v>
      </c>
    </row>
    <row r="42" spans="1:10">
      <c r="A42" t="s">
        <v>8</v>
      </c>
      <c r="B42" s="18">
        <v>0</v>
      </c>
      <c r="C42" s="18">
        <v>0</v>
      </c>
      <c r="D42" s="18">
        <v>0</v>
      </c>
      <c r="E42" s="18">
        <v>0</v>
      </c>
      <c r="F42" s="18">
        <v>0</v>
      </c>
      <c r="G42" s="24">
        <v>155.5000009056732</v>
      </c>
      <c r="H42" s="18">
        <f t="shared" si="5"/>
        <v>1</v>
      </c>
      <c r="I42" s="25">
        <f t="shared" si="6"/>
        <v>155.5000009056732</v>
      </c>
      <c r="J42" s="28">
        <f>5500-I42</f>
        <v>5344.499999094327</v>
      </c>
    </row>
    <row r="43" spans="1:10">
      <c r="A43" t="s">
        <v>35</v>
      </c>
      <c r="B43" s="26">
        <f>SUM(B39:B42)</f>
        <v>459.99999999999994</v>
      </c>
      <c r="C43" s="26">
        <f t="shared" ref="C43:G43" si="7">SUM(C39:C42)</f>
        <v>784.00000000000011</v>
      </c>
      <c r="D43" s="26">
        <f t="shared" si="7"/>
        <v>1200.0000009843989</v>
      </c>
      <c r="E43" s="26">
        <f t="shared" si="7"/>
        <v>354.00000002448132</v>
      </c>
      <c r="F43" s="26">
        <f t="shared" si="7"/>
        <v>517.49999989679236</v>
      </c>
      <c r="G43" s="26">
        <f t="shared" si="7"/>
        <v>839.99999999999989</v>
      </c>
      <c r="I43" s="21"/>
    </row>
    <row r="44" spans="1:10">
      <c r="A44" t="s">
        <v>36</v>
      </c>
      <c r="B44" s="28">
        <f>B15-B43</f>
        <v>0</v>
      </c>
      <c r="C44" s="28">
        <f t="shared" ref="C44:G44" si="8">C15-C43</f>
        <v>0</v>
      </c>
      <c r="D44" s="28">
        <f t="shared" si="8"/>
        <v>-9.8439886642154306E-7</v>
      </c>
      <c r="E44" s="28">
        <f t="shared" si="8"/>
        <v>-2.4481323634972796E-8</v>
      </c>
      <c r="F44" s="28">
        <f t="shared" si="8"/>
        <v>1.0320763976778835E-7</v>
      </c>
      <c r="G44" s="28">
        <f t="shared" si="8"/>
        <v>0</v>
      </c>
    </row>
    <row r="47" spans="1:10">
      <c r="A47" s="42" t="s">
        <v>38</v>
      </c>
      <c r="B47" s="42"/>
    </row>
    <row r="48" spans="1:10">
      <c r="A48" s="22" t="s">
        <v>9</v>
      </c>
      <c r="B48" s="27">
        <f>(IF(I30&gt;0,1200000)+(IF(I31&gt;0,1500000)+(IF(I32&gt;0,1600000))))+(IF(I40&gt;0,1200000)+(IF(I41&gt;0,1500000)+(IF(I42&gt;0,1600000))))</f>
        <v>3200000</v>
      </c>
    </row>
    <row r="49" spans="1:5">
      <c r="A49" s="4" t="s">
        <v>14</v>
      </c>
      <c r="B49" s="15">
        <f>(IF(I29&gt;0,B6)+(IF(I30&gt;0,B7)+(IF(I31&gt;0,B8)+(IF(I32&gt;0,B9)))))+(IF(I39&gt;0,E6)+(IF(I40&gt;0,E7)+(IF(I41&gt;0,E8)+(IF(I42&gt;0,E9)))))</f>
        <v>1060000</v>
      </c>
      <c r="D49" t="s">
        <v>28</v>
      </c>
    </row>
    <row r="50" spans="1:5">
      <c r="A50" s="4" t="s">
        <v>39</v>
      </c>
      <c r="B50" s="16">
        <f>(((SUM(B29:G29)*C6)+(SUM(B29:G29)*F6))+((SUM(B30:G30)*C7)+(SUM(B30:G30)*F7))+((SUM(B31:G31)*C8)+(SUM(B31:G31)*F8))+((SUM(B32:G32)*C9)+(SUM(B32:G32)*F9)))*360</f>
        <v>1817460.0000107053</v>
      </c>
      <c r="D50" s="1"/>
      <c r="E50" t="s">
        <v>40</v>
      </c>
    </row>
    <row r="51" spans="1:5">
      <c r="A51" s="4" t="s">
        <v>41</v>
      </c>
      <c r="B51" s="15">
        <f>360*(((SUMPRODUCT(B29:G29,B21:G21)+SUMPRODUCT(B39:G39,B21:G21))+((SUMPRODUCT(B30:G30,B22:G22)+SUMPRODUCT(B40:G40,B22:G22))+((SUMPRODUCT(B31:G31,B23:G23)+SUMPRODUCT(B41:G41,B23:G23))+((SUMPRODUCT(B32:G32,B24:G24)+SUMPRODUCT(B42:G42,B24:G24)))))))</f>
        <v>647262.08996484114</v>
      </c>
      <c r="D51" s="13"/>
      <c r="E51" t="s">
        <v>13</v>
      </c>
    </row>
    <row r="52" spans="1:5">
      <c r="A52" s="4" t="s">
        <v>43</v>
      </c>
      <c r="B52" s="15">
        <f>SUM(B48:B51)</f>
        <v>6724722.089975547</v>
      </c>
      <c r="D52" s="14"/>
      <c r="E52" t="s">
        <v>42</v>
      </c>
    </row>
  </sheetData>
  <mergeCells count="8">
    <mergeCell ref="B37:H37"/>
    <mergeCell ref="A47:B47"/>
    <mergeCell ref="B3:G3"/>
    <mergeCell ref="B4:D4"/>
    <mergeCell ref="E4:G4"/>
    <mergeCell ref="B12:G12"/>
    <mergeCell ref="B19:G19"/>
    <mergeCell ref="B27:H27"/>
  </mergeCells>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3:J51"/>
  <sheetViews>
    <sheetView workbookViewId="0">
      <selection activeCell="B14" sqref="B14:G16"/>
    </sheetView>
  </sheetViews>
  <sheetFormatPr defaultRowHeight="15"/>
  <cols>
    <col min="1" max="1" width="18.140625" customWidth="1"/>
    <col min="2" max="2" width="17.7109375" customWidth="1"/>
    <col min="3" max="7" width="12.7109375" customWidth="1"/>
    <col min="8" max="8" width="14.140625" customWidth="1"/>
    <col min="9" max="9" width="13.7109375" customWidth="1"/>
  </cols>
  <sheetData>
    <row r="3" spans="1:7">
      <c r="B3" s="42" t="s">
        <v>15</v>
      </c>
      <c r="C3" s="42"/>
      <c r="D3" s="42"/>
      <c r="E3" s="42"/>
      <c r="F3" s="42"/>
      <c r="G3" s="42"/>
    </row>
    <row r="4" spans="1:7">
      <c r="B4" s="43" t="s">
        <v>0</v>
      </c>
      <c r="C4" s="43"/>
      <c r="D4" s="43"/>
      <c r="E4" s="43" t="s">
        <v>1</v>
      </c>
      <c r="F4" s="43"/>
      <c r="G4" s="43"/>
    </row>
    <row r="5" spans="1:7" ht="30">
      <c r="A5" s="2" t="s">
        <v>16</v>
      </c>
      <c r="B5" s="3" t="s">
        <v>17</v>
      </c>
      <c r="C5" s="3" t="s">
        <v>18</v>
      </c>
      <c r="D5" s="3" t="s">
        <v>19</v>
      </c>
      <c r="E5" s="3" t="s">
        <v>17</v>
      </c>
      <c r="F5" s="3" t="s">
        <v>20</v>
      </c>
      <c r="G5" s="3" t="s">
        <v>19</v>
      </c>
    </row>
    <row r="6" spans="1:7">
      <c r="A6" s="4" t="s">
        <v>10</v>
      </c>
      <c r="B6" s="5">
        <v>200000</v>
      </c>
      <c r="C6" s="5">
        <v>0.3</v>
      </c>
      <c r="D6" s="6">
        <v>6000</v>
      </c>
      <c r="E6" s="5">
        <v>300000</v>
      </c>
      <c r="F6" s="5">
        <v>0.5</v>
      </c>
      <c r="G6" s="6">
        <v>4000</v>
      </c>
    </row>
    <row r="7" spans="1:7">
      <c r="A7" s="4" t="s">
        <v>6</v>
      </c>
      <c r="B7" s="5">
        <v>220000</v>
      </c>
      <c r="C7" s="5">
        <v>0.25</v>
      </c>
      <c r="D7" s="6">
        <v>6000</v>
      </c>
      <c r="E7" s="5">
        <v>300000</v>
      </c>
      <c r="F7" s="5">
        <v>0.45</v>
      </c>
      <c r="G7" s="6">
        <v>4500</v>
      </c>
    </row>
    <row r="8" spans="1:7">
      <c r="A8" s="4" t="s">
        <v>7</v>
      </c>
      <c r="B8" s="5">
        <v>240000</v>
      </c>
      <c r="C8" s="5">
        <v>0.25</v>
      </c>
      <c r="D8" s="6">
        <v>7000</v>
      </c>
      <c r="E8" s="5">
        <v>320000</v>
      </c>
      <c r="F8" s="5">
        <v>0.45</v>
      </c>
      <c r="G8" s="6">
        <v>5200</v>
      </c>
    </row>
    <row r="9" spans="1:7">
      <c r="A9" s="4" t="s">
        <v>8</v>
      </c>
      <c r="B9" s="5">
        <v>240000</v>
      </c>
      <c r="C9" s="5">
        <v>0.25</v>
      </c>
      <c r="D9" s="6">
        <v>7500</v>
      </c>
      <c r="E9" s="5">
        <v>320000</v>
      </c>
      <c r="F9" s="5">
        <v>0.45</v>
      </c>
      <c r="G9" s="6">
        <v>5500</v>
      </c>
    </row>
    <row r="12" spans="1:7">
      <c r="B12" s="42" t="s">
        <v>21</v>
      </c>
      <c r="C12" s="42"/>
      <c r="D12" s="42"/>
      <c r="E12" s="42"/>
      <c r="F12" s="42"/>
      <c r="G12" s="42"/>
    </row>
    <row r="13" spans="1:7" ht="30">
      <c r="A13" s="2" t="s">
        <v>22</v>
      </c>
      <c r="B13" s="3" t="s">
        <v>23</v>
      </c>
      <c r="C13" s="3" t="s">
        <v>2</v>
      </c>
      <c r="D13" s="3" t="s">
        <v>3</v>
      </c>
      <c r="E13" s="3" t="s">
        <v>4</v>
      </c>
      <c r="F13" s="3" t="s">
        <v>24</v>
      </c>
      <c r="G13" s="3" t="s">
        <v>5</v>
      </c>
    </row>
    <row r="14" spans="1:7">
      <c r="A14" s="4" t="s">
        <v>0</v>
      </c>
      <c r="B14" s="30">
        <f>'Scenario A (Y1)'!B14*1.15</f>
        <v>925.74999999999977</v>
      </c>
      <c r="C14" s="30">
        <f>'Scenario A (Y1)'!C14*1.12</f>
        <v>1254.4000000000001</v>
      </c>
      <c r="D14" s="30">
        <f>'Scenario A (Y1)'!D14*1.2</f>
        <v>2160</v>
      </c>
      <c r="E14" s="30">
        <f>'Scenario A (Y1)'!E14*1.18</f>
        <v>696.19999999999993</v>
      </c>
      <c r="F14" s="30">
        <f>'Scenario A (Y1)'!F14*1.15</f>
        <v>1057.9999999999998</v>
      </c>
      <c r="G14" s="30">
        <f>'Scenario A (Y1)'!G14*1.12</f>
        <v>1254.4000000000001</v>
      </c>
    </row>
    <row r="15" spans="1:7">
      <c r="A15" s="4" t="s">
        <v>1</v>
      </c>
      <c r="B15" s="30">
        <f>'Scenario A (Y1)'!B15*1.15</f>
        <v>528.99999999999989</v>
      </c>
      <c r="C15" s="30">
        <f>'Scenario A (Y1)'!C15*1.12</f>
        <v>878.08000000000015</v>
      </c>
      <c r="D15" s="30">
        <f>'Scenario A (Y1)'!D15*1.2</f>
        <v>1440</v>
      </c>
      <c r="E15" s="30">
        <f>'Scenario A (Y1)'!E15*1.18</f>
        <v>417.71999999999997</v>
      </c>
      <c r="F15" s="30">
        <f>'Scenario A (Y1)'!F15*1.15</f>
        <v>595.125</v>
      </c>
      <c r="G15" s="30">
        <f>'Scenario A (Y1)'!G15*1.12</f>
        <v>940.80000000000018</v>
      </c>
    </row>
    <row r="16" spans="1:7">
      <c r="A16" s="4" t="s">
        <v>44</v>
      </c>
      <c r="B16" s="30">
        <f>SUM(B14:B15)</f>
        <v>1454.7499999999995</v>
      </c>
      <c r="C16" s="30">
        <f t="shared" ref="C16:G16" si="0">SUM(C14:C15)</f>
        <v>2132.4800000000005</v>
      </c>
      <c r="D16" s="30">
        <f t="shared" si="0"/>
        <v>3600</v>
      </c>
      <c r="E16" s="30">
        <f t="shared" si="0"/>
        <v>1113.9199999999998</v>
      </c>
      <c r="F16" s="30">
        <f t="shared" si="0"/>
        <v>1653.1249999999998</v>
      </c>
      <c r="G16" s="30">
        <f t="shared" si="0"/>
        <v>2195.2000000000003</v>
      </c>
    </row>
    <row r="19" spans="1:10">
      <c r="B19" s="44" t="s">
        <v>26</v>
      </c>
      <c r="C19" s="44"/>
      <c r="D19" s="44"/>
      <c r="E19" s="44"/>
      <c r="F19" s="44"/>
      <c r="G19" s="44"/>
    </row>
    <row r="20" spans="1:10" ht="31.5" customHeight="1">
      <c r="A20" s="8" t="s">
        <v>27</v>
      </c>
      <c r="B20" s="3" t="s">
        <v>23</v>
      </c>
      <c r="C20" s="3" t="s">
        <v>2</v>
      </c>
      <c r="D20" s="3" t="s">
        <v>3</v>
      </c>
      <c r="E20" s="3" t="s">
        <v>4</v>
      </c>
      <c r="F20" s="3" t="s">
        <v>24</v>
      </c>
      <c r="G20" s="3" t="s">
        <v>5</v>
      </c>
    </row>
    <row r="21" spans="1:10">
      <c r="A21" s="4" t="s">
        <v>10</v>
      </c>
      <c r="B21" s="5">
        <f>'Scenario A (Y1)'!B21*(1+15%)</f>
        <v>0.13224999999999998</v>
      </c>
      <c r="C21" s="5">
        <f>'Scenario A (Y1)'!C21*(1+15%)</f>
        <v>0.15869999999999998</v>
      </c>
      <c r="D21" s="5">
        <f>'Scenario A (Y1)'!D21*(1+15%)</f>
        <v>0.14547499999999999</v>
      </c>
      <c r="E21" s="5">
        <f>'Scenario A (Y1)'!E21*(1+15%)</f>
        <v>0.26449999999999996</v>
      </c>
      <c r="F21" s="5">
        <f>'Scenario A (Y1)'!F21*(1+15%)</f>
        <v>0.29094999999999999</v>
      </c>
      <c r="G21" s="5">
        <f>'Scenario A (Y1)'!G21*(1+15%)</f>
        <v>0.31739999999999996</v>
      </c>
    </row>
    <row r="22" spans="1:10">
      <c r="A22" s="4" t="s">
        <v>6</v>
      </c>
      <c r="B22" s="5">
        <f>'Scenario A (Y1)'!B22*(1+15%)</f>
        <v>0.13224999999999998</v>
      </c>
      <c r="C22" s="5">
        <f>'Scenario A (Y1)'!C22*(1+15%)</f>
        <v>0.15869999999999998</v>
      </c>
      <c r="D22" s="5">
        <f>'Scenario A (Y1)'!D22*(1+15%)</f>
        <v>5.2899999999999996E-2</v>
      </c>
      <c r="E22" s="5">
        <f>'Scenario A (Y1)'!E22*(1+15%)</f>
        <v>0.15869999999999998</v>
      </c>
      <c r="F22" s="5">
        <f>'Scenario A (Y1)'!F22*(1+15%)</f>
        <v>0.19837499999999997</v>
      </c>
      <c r="G22" s="5">
        <f>'Scenario A (Y1)'!G22*(1+15%)</f>
        <v>0.224825</v>
      </c>
    </row>
    <row r="23" spans="1:10">
      <c r="A23" s="4" t="s">
        <v>7</v>
      </c>
      <c r="B23" s="5">
        <f>'Scenario A (Y1)'!B23*(1+15%)</f>
        <v>0.23804999999999996</v>
      </c>
      <c r="C23" s="5">
        <f>'Scenario A (Y1)'!C23*(1+15%)</f>
        <v>0.21159999999999998</v>
      </c>
      <c r="D23" s="5">
        <f>'Scenario A (Y1)'!D23*(1+15%)</f>
        <v>6.6124999999999989E-2</v>
      </c>
      <c r="E23" s="5">
        <f>'Scenario A (Y1)'!E23*(1+15%)</f>
        <v>5.2899999999999996E-2</v>
      </c>
      <c r="F23" s="5">
        <f>'Scenario A (Y1)'!F23*(1+15%)</f>
        <v>0.13224999999999998</v>
      </c>
      <c r="G23" s="5">
        <f>'Scenario A (Y1)'!G23*(1+15%)</f>
        <v>0.14547499999999999</v>
      </c>
      <c r="I23" t="s">
        <v>28</v>
      </c>
    </row>
    <row r="24" spans="1:10">
      <c r="A24" s="4" t="s">
        <v>8</v>
      </c>
      <c r="B24" s="5">
        <f>'Scenario A (Y1)'!B24*(1+15%)</f>
        <v>0.29094999999999999</v>
      </c>
      <c r="C24" s="5">
        <f>'Scenario A (Y1)'!C24*(1+15%)</f>
        <v>0.31739999999999996</v>
      </c>
      <c r="D24" s="5">
        <f>'Scenario A (Y1)'!D24*(1+15%)</f>
        <v>0.13224999999999998</v>
      </c>
      <c r="E24" s="5">
        <f>'Scenario A (Y1)'!E24*(1+15%)</f>
        <v>0.17192499999999997</v>
      </c>
      <c r="F24" s="5">
        <f>'Scenario A (Y1)'!F24*(1+15%)</f>
        <v>5.2899999999999996E-2</v>
      </c>
      <c r="G24" s="5">
        <f>'Scenario A (Y1)'!G24*(1+15%)</f>
        <v>6.6124999999999989E-2</v>
      </c>
      <c r="I24" s="9"/>
      <c r="J24" t="s">
        <v>29</v>
      </c>
    </row>
    <row r="27" spans="1:10">
      <c r="B27" s="41" t="s">
        <v>30</v>
      </c>
      <c r="C27" s="41"/>
      <c r="D27" s="41"/>
      <c r="E27" s="41"/>
      <c r="F27" s="41"/>
      <c r="G27" s="41"/>
      <c r="H27" s="41"/>
    </row>
    <row r="28" spans="1:10" ht="30">
      <c r="A28" s="8" t="s">
        <v>31</v>
      </c>
      <c r="B28" s="3" t="s">
        <v>23</v>
      </c>
      <c r="C28" s="3" t="s">
        <v>2</v>
      </c>
      <c r="D28" s="3" t="s">
        <v>3</v>
      </c>
      <c r="E28" s="3" t="s">
        <v>4</v>
      </c>
      <c r="F28" s="3" t="s">
        <v>24</v>
      </c>
      <c r="G28" s="3" t="s">
        <v>5</v>
      </c>
      <c r="H28" s="10" t="s">
        <v>32</v>
      </c>
      <c r="I28" s="10" t="s">
        <v>33</v>
      </c>
      <c r="J28" s="10" t="s">
        <v>34</v>
      </c>
    </row>
    <row r="29" spans="1:10">
      <c r="A29" s="4" t="s">
        <v>10</v>
      </c>
      <c r="B29" s="24">
        <v>791.35002278804325</v>
      </c>
      <c r="C29" s="24">
        <v>1119.9999468279011</v>
      </c>
      <c r="D29" s="24">
        <v>1841.8500076384944</v>
      </c>
      <c r="E29" s="24">
        <v>561.80002278804329</v>
      </c>
      <c r="F29" s="24">
        <v>919.99999999999943</v>
      </c>
      <c r="G29" s="24">
        <v>764.99999995751853</v>
      </c>
      <c r="H29" s="18">
        <f>IF(I29&gt;0,1,0)</f>
        <v>1</v>
      </c>
      <c r="I29" s="17">
        <f>SUM(B29:G29)</f>
        <v>5999.9999999999991</v>
      </c>
      <c r="J29" s="19">
        <f>6000-I29</f>
        <v>0</v>
      </c>
    </row>
    <row r="30" spans="1:10">
      <c r="A30" s="4" t="s">
        <v>6</v>
      </c>
      <c r="B30" s="18">
        <v>0</v>
      </c>
      <c r="C30" s="18">
        <v>0</v>
      </c>
      <c r="D30" s="18">
        <v>0</v>
      </c>
      <c r="E30" s="18">
        <v>0</v>
      </c>
      <c r="F30" s="18">
        <v>0</v>
      </c>
      <c r="G30" s="18">
        <v>0</v>
      </c>
      <c r="H30" s="18">
        <f t="shared" ref="H30:H32" si="1">IF(I30&gt;0,1,0)</f>
        <v>0</v>
      </c>
      <c r="I30" s="25">
        <f>SUM(B30:G30)</f>
        <v>0</v>
      </c>
      <c r="J30" s="28">
        <f>6000-I30</f>
        <v>6000</v>
      </c>
    </row>
    <row r="31" spans="1:10">
      <c r="A31" s="4" t="s">
        <v>7</v>
      </c>
      <c r="B31" s="18">
        <v>0</v>
      </c>
      <c r="C31" s="18">
        <v>0</v>
      </c>
      <c r="D31" s="18">
        <v>0</v>
      </c>
      <c r="E31" s="18">
        <v>0</v>
      </c>
      <c r="F31" s="18">
        <v>0</v>
      </c>
      <c r="G31" s="18">
        <v>0</v>
      </c>
      <c r="H31" s="18">
        <f t="shared" si="1"/>
        <v>0</v>
      </c>
      <c r="I31" s="25">
        <f t="shared" ref="I31:I32" si="2">SUM(B31:G31)</f>
        <v>0</v>
      </c>
      <c r="J31" s="28">
        <f>7000-I31</f>
        <v>7000</v>
      </c>
    </row>
    <row r="32" spans="1:10">
      <c r="A32" s="4" t="s">
        <v>8</v>
      </c>
      <c r="B32" s="24">
        <v>134.39997721195661</v>
      </c>
      <c r="C32" s="24">
        <v>134.40005317209895</v>
      </c>
      <c r="D32" s="24">
        <v>134.40005317209895</v>
      </c>
      <c r="E32" s="24">
        <v>134.39997721195661</v>
      </c>
      <c r="F32" s="24">
        <v>134.39997721195661</v>
      </c>
      <c r="G32" s="24">
        <v>489.40000004248157</v>
      </c>
      <c r="H32" s="18">
        <f t="shared" si="1"/>
        <v>1</v>
      </c>
      <c r="I32" s="25">
        <f t="shared" si="2"/>
        <v>1161.4000380225493</v>
      </c>
      <c r="J32" s="28">
        <f>7500-I32</f>
        <v>6338.5999619774502</v>
      </c>
    </row>
    <row r="33" spans="1:10">
      <c r="A33" s="4" t="s">
        <v>35</v>
      </c>
      <c r="B33" s="25">
        <f>SUM(B29:B32)</f>
        <v>925.74999999999989</v>
      </c>
      <c r="C33" s="25">
        <f t="shared" ref="C33:G33" si="3">SUM(C29:C32)</f>
        <v>1254.4000000000001</v>
      </c>
      <c r="D33" s="25">
        <f t="shared" si="3"/>
        <v>1976.2500608105934</v>
      </c>
      <c r="E33" s="25">
        <f t="shared" si="3"/>
        <v>696.19999999999993</v>
      </c>
      <c r="F33" s="25">
        <f t="shared" si="3"/>
        <v>1054.399977211956</v>
      </c>
      <c r="G33" s="25">
        <f t="shared" si="3"/>
        <v>1254.4000000000001</v>
      </c>
    </row>
    <row r="34" spans="1:10">
      <c r="A34" s="4" t="s">
        <v>36</v>
      </c>
      <c r="B34" s="28">
        <f>B14-B33</f>
        <v>0</v>
      </c>
      <c r="C34" s="28">
        <f t="shared" ref="C34:G34" si="4">C14-C33</f>
        <v>0</v>
      </c>
      <c r="D34" s="28">
        <f t="shared" si="4"/>
        <v>183.74993918940663</v>
      </c>
      <c r="E34" s="28">
        <f t="shared" si="4"/>
        <v>0</v>
      </c>
      <c r="F34" s="28">
        <f t="shared" si="4"/>
        <v>3.600022788043816</v>
      </c>
      <c r="G34" s="28">
        <f t="shared" si="4"/>
        <v>0</v>
      </c>
    </row>
    <row r="37" spans="1:10">
      <c r="B37" s="41" t="s">
        <v>37</v>
      </c>
      <c r="C37" s="41"/>
      <c r="D37" s="41"/>
      <c r="E37" s="41"/>
      <c r="F37" s="41"/>
      <c r="G37" s="41"/>
      <c r="H37" s="41"/>
    </row>
    <row r="38" spans="1:10" ht="30">
      <c r="A38" s="12" t="s">
        <v>31</v>
      </c>
      <c r="B38" s="3" t="s">
        <v>23</v>
      </c>
      <c r="C38" s="3" t="s">
        <v>2</v>
      </c>
      <c r="D38" s="3" t="s">
        <v>3</v>
      </c>
      <c r="E38" s="3" t="s">
        <v>4</v>
      </c>
      <c r="F38" s="3" t="s">
        <v>24</v>
      </c>
      <c r="G38" s="3" t="s">
        <v>5</v>
      </c>
      <c r="H38" s="10" t="s">
        <v>32</v>
      </c>
      <c r="I38" s="10" t="s">
        <v>33</v>
      </c>
      <c r="J38" s="10" t="s">
        <v>34</v>
      </c>
    </row>
    <row r="39" spans="1:10">
      <c r="A39" t="s">
        <v>10</v>
      </c>
      <c r="B39" s="24">
        <v>421.46249128892862</v>
      </c>
      <c r="C39" s="24">
        <v>770.54252926900006</v>
      </c>
      <c r="D39" s="24">
        <v>1332.4624533088577</v>
      </c>
      <c r="E39" s="24">
        <v>310.18249128892865</v>
      </c>
      <c r="F39" s="24">
        <v>487.58752926899984</v>
      </c>
      <c r="G39" s="24">
        <v>677.76250557528419</v>
      </c>
      <c r="H39" s="18">
        <f>IF(I39&gt;0,1,0)</f>
        <v>1</v>
      </c>
      <c r="I39" s="17">
        <f>SUM(B39:G39)</f>
        <v>3999.9999999999991</v>
      </c>
      <c r="J39" s="19">
        <f>4000-I39</f>
        <v>0</v>
      </c>
    </row>
    <row r="40" spans="1:10">
      <c r="A40" t="s">
        <v>6</v>
      </c>
      <c r="B40" s="24">
        <v>0</v>
      </c>
      <c r="C40" s="18">
        <v>0</v>
      </c>
      <c r="D40" s="18">
        <v>0</v>
      </c>
      <c r="E40" s="18">
        <v>0</v>
      </c>
      <c r="F40" s="18">
        <v>0</v>
      </c>
      <c r="G40" s="18">
        <v>0</v>
      </c>
      <c r="H40" s="18">
        <f t="shared" ref="H40:H42" si="5">IF(I40&gt;0,1,0)</f>
        <v>0</v>
      </c>
      <c r="I40" s="25">
        <f t="shared" ref="I40:I42" si="6">SUM(B40:G40)</f>
        <v>0</v>
      </c>
      <c r="J40" s="28">
        <f>4500-I40</f>
        <v>4500</v>
      </c>
    </row>
    <row r="41" spans="1:10">
      <c r="A41" t="s">
        <v>7</v>
      </c>
      <c r="B41" s="18">
        <v>0</v>
      </c>
      <c r="C41" s="18">
        <v>0</v>
      </c>
      <c r="D41" s="18">
        <v>0</v>
      </c>
      <c r="E41" s="18">
        <v>0</v>
      </c>
      <c r="F41" s="18">
        <v>0</v>
      </c>
      <c r="G41" s="18">
        <v>0</v>
      </c>
      <c r="H41" s="18">
        <f t="shared" si="5"/>
        <v>0</v>
      </c>
      <c r="I41" s="25">
        <f t="shared" si="6"/>
        <v>0</v>
      </c>
      <c r="J41" s="28">
        <f>5200-I41</f>
        <v>5200</v>
      </c>
    </row>
    <row r="42" spans="1:10">
      <c r="A42" t="s">
        <v>8</v>
      </c>
      <c r="B42" s="24">
        <v>107.53750871107123</v>
      </c>
      <c r="C42" s="24">
        <v>107.53747073100006</v>
      </c>
      <c r="D42" s="24">
        <v>107.5375466911424</v>
      </c>
      <c r="E42" s="24">
        <v>107.53750871107123</v>
      </c>
      <c r="F42" s="24">
        <v>107.53747073100006</v>
      </c>
      <c r="G42" s="24">
        <v>263.03749442471593</v>
      </c>
      <c r="H42" s="18">
        <f t="shared" si="5"/>
        <v>1</v>
      </c>
      <c r="I42" s="25">
        <f t="shared" si="6"/>
        <v>800.72500000000082</v>
      </c>
      <c r="J42" s="28">
        <f>5500-I42</f>
        <v>4699.2749999999996</v>
      </c>
    </row>
    <row r="43" spans="1:10">
      <c r="A43" t="s">
        <v>35</v>
      </c>
      <c r="B43" s="26">
        <f>SUM(B39:B42)</f>
        <v>528.99999999999989</v>
      </c>
      <c r="C43" s="26">
        <f t="shared" ref="C43:G43" si="7">SUM(C39:C42)</f>
        <v>878.08000000000015</v>
      </c>
      <c r="D43" s="26">
        <f t="shared" si="7"/>
        <v>1440</v>
      </c>
      <c r="E43" s="26">
        <f t="shared" si="7"/>
        <v>417.71999999999986</v>
      </c>
      <c r="F43" s="26">
        <f t="shared" si="7"/>
        <v>595.12499999999989</v>
      </c>
      <c r="G43" s="26">
        <f t="shared" si="7"/>
        <v>940.80000000000018</v>
      </c>
      <c r="I43" s="21"/>
    </row>
    <row r="44" spans="1:10">
      <c r="A44" t="s">
        <v>36</v>
      </c>
      <c r="B44" s="28">
        <f>B15-B43</f>
        <v>0</v>
      </c>
      <c r="C44" s="28">
        <f t="shared" ref="C44:G44" si="8">C15-C43</f>
        <v>0</v>
      </c>
      <c r="D44" s="28">
        <f t="shared" si="8"/>
        <v>0</v>
      </c>
      <c r="E44" s="28">
        <f t="shared" si="8"/>
        <v>0</v>
      </c>
      <c r="F44" s="28">
        <f t="shared" si="8"/>
        <v>0</v>
      </c>
      <c r="G44" s="28">
        <f t="shared" si="8"/>
        <v>0</v>
      </c>
    </row>
    <row r="47" spans="1:10">
      <c r="A47" s="42" t="s">
        <v>38</v>
      </c>
      <c r="B47" s="42"/>
    </row>
    <row r="48" spans="1:10">
      <c r="A48" s="4" t="s">
        <v>14</v>
      </c>
      <c r="B48" s="15">
        <f>(IF(I29&gt;0,B6)+(IF(I30&gt;0,B7)+(IF(I31&gt;0,B8)+(IF(I32&gt;0,B9)))))+(IF(I39&gt;0,E6)+(IF(I40&gt;0,E7)+(IF(I41&gt;0,E8)+(IF(I42&gt;0,E9)))))</f>
        <v>1060000</v>
      </c>
      <c r="D48" t="s">
        <v>28</v>
      </c>
    </row>
    <row r="49" spans="1:5">
      <c r="A49" s="4" t="s">
        <v>39</v>
      </c>
      <c r="B49" s="16">
        <f>(((SUM(B29:G29)*C6)+(SUM(B29:G29)*F6))+((SUM(B30:G30)*C7)+(SUM(B30:G30)*F7))+((SUM(B31:G31)*C8)+(SUM(B31:G31)*F8))+((SUM(B32:G32)*C9)+(SUM(B32:G32)*F9)))*360</f>
        <v>2020672.8095816821</v>
      </c>
      <c r="D49" s="1"/>
      <c r="E49" t="s">
        <v>40</v>
      </c>
    </row>
    <row r="50" spans="1:5">
      <c r="A50" s="4" t="s">
        <v>41</v>
      </c>
      <c r="B50" s="15">
        <f>360*(((SUMPRODUCT(B29:G29,B21:G21)+SUMPRODUCT(B39:G39,B21:G21))+((SUMPRODUCT(B30:G30,B22:G22)+SUMPRODUCT(B40:G40,B22:G22))+((SUMPRODUCT(B31:G31,B23:G23)+SUMPRODUCT(B41:G41,B23:G23))+((SUMPRODUCT(B32:G32,B24:G24)+SUMPRODUCT(B42:G42,B24:G24)))))))</f>
        <v>829311.79998710298</v>
      </c>
      <c r="D50" s="13"/>
      <c r="E50" t="s">
        <v>13</v>
      </c>
    </row>
    <row r="51" spans="1:5">
      <c r="A51" s="4" t="s">
        <v>43</v>
      </c>
      <c r="B51" s="15">
        <f>SUM(B48:B50)</f>
        <v>3909984.6095687849</v>
      </c>
      <c r="D51" s="14"/>
      <c r="E51" t="s">
        <v>42</v>
      </c>
    </row>
  </sheetData>
  <mergeCells count="8">
    <mergeCell ref="B37:H37"/>
    <mergeCell ref="A47:B47"/>
    <mergeCell ref="B3:G3"/>
    <mergeCell ref="B4:D4"/>
    <mergeCell ref="E4:G4"/>
    <mergeCell ref="B12:G12"/>
    <mergeCell ref="B19:G19"/>
    <mergeCell ref="B27:H27"/>
  </mergeCell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3:J51"/>
  <sheetViews>
    <sheetView topLeftCell="A36" workbookViewId="0">
      <selection activeCell="B21" sqref="B21:G24"/>
    </sheetView>
  </sheetViews>
  <sheetFormatPr defaultRowHeight="15"/>
  <cols>
    <col min="1" max="1" width="18.140625" customWidth="1"/>
    <col min="2" max="2" width="17.7109375" customWidth="1"/>
    <col min="3" max="7" width="12.7109375" customWidth="1"/>
    <col min="8" max="8" width="14.140625" customWidth="1"/>
    <col min="9" max="9" width="13.7109375" customWidth="1"/>
  </cols>
  <sheetData>
    <row r="3" spans="1:7">
      <c r="B3" s="42" t="s">
        <v>15</v>
      </c>
      <c r="C3" s="42"/>
      <c r="D3" s="42"/>
      <c r="E3" s="42"/>
      <c r="F3" s="42"/>
      <c r="G3" s="42"/>
    </row>
    <row r="4" spans="1:7">
      <c r="B4" s="43" t="s">
        <v>0</v>
      </c>
      <c r="C4" s="43"/>
      <c r="D4" s="43"/>
      <c r="E4" s="43" t="s">
        <v>1</v>
      </c>
      <c r="F4" s="43"/>
      <c r="G4" s="43"/>
    </row>
    <row r="5" spans="1:7" ht="30">
      <c r="A5" s="2" t="s">
        <v>16</v>
      </c>
      <c r="B5" s="3" t="s">
        <v>17</v>
      </c>
      <c r="C5" s="3" t="s">
        <v>18</v>
      </c>
      <c r="D5" s="3" t="s">
        <v>19</v>
      </c>
      <c r="E5" s="3" t="s">
        <v>17</v>
      </c>
      <c r="F5" s="3" t="s">
        <v>20</v>
      </c>
      <c r="G5" s="3" t="s">
        <v>19</v>
      </c>
    </row>
    <row r="6" spans="1:7">
      <c r="A6" s="4" t="s">
        <v>10</v>
      </c>
      <c r="B6" s="5">
        <v>200000</v>
      </c>
      <c r="C6" s="5">
        <v>0.3</v>
      </c>
      <c r="D6" s="6">
        <v>6000</v>
      </c>
      <c r="E6" s="5">
        <v>300000</v>
      </c>
      <c r="F6" s="5">
        <v>0.5</v>
      </c>
      <c r="G6" s="6">
        <v>4000</v>
      </c>
    </row>
    <row r="7" spans="1:7">
      <c r="A7" s="4" t="s">
        <v>6</v>
      </c>
      <c r="B7" s="5">
        <v>220000</v>
      </c>
      <c r="C7" s="5">
        <v>0.25</v>
      </c>
      <c r="D7" s="6">
        <v>6000</v>
      </c>
      <c r="E7" s="5">
        <v>300000</v>
      </c>
      <c r="F7" s="5">
        <v>0.45</v>
      </c>
      <c r="G7" s="6">
        <v>4500</v>
      </c>
    </row>
    <row r="8" spans="1:7">
      <c r="A8" s="4" t="s">
        <v>7</v>
      </c>
      <c r="B8" s="5">
        <v>240000</v>
      </c>
      <c r="C8" s="5">
        <v>0.25</v>
      </c>
      <c r="D8" s="6">
        <v>7000</v>
      </c>
      <c r="E8" s="5">
        <v>320000</v>
      </c>
      <c r="F8" s="5">
        <v>0.45</v>
      </c>
      <c r="G8" s="6">
        <v>5200</v>
      </c>
    </row>
    <row r="9" spans="1:7">
      <c r="A9" s="4" t="s">
        <v>8</v>
      </c>
      <c r="B9" s="5">
        <v>240000</v>
      </c>
      <c r="C9" s="5">
        <v>0.25</v>
      </c>
      <c r="D9" s="6">
        <v>7500</v>
      </c>
      <c r="E9" s="5">
        <v>320000</v>
      </c>
      <c r="F9" s="5">
        <v>0.45</v>
      </c>
      <c r="G9" s="6">
        <v>5500</v>
      </c>
    </row>
    <row r="12" spans="1:7">
      <c r="B12" s="42" t="s">
        <v>21</v>
      </c>
      <c r="C12" s="42"/>
      <c r="D12" s="42"/>
      <c r="E12" s="42"/>
      <c r="F12" s="42"/>
      <c r="G12" s="42"/>
    </row>
    <row r="13" spans="1:7" ht="30">
      <c r="A13" s="2" t="s">
        <v>22</v>
      </c>
      <c r="B13" s="3" t="s">
        <v>23</v>
      </c>
      <c r="C13" s="3" t="s">
        <v>2</v>
      </c>
      <c r="D13" s="3" t="s">
        <v>3</v>
      </c>
      <c r="E13" s="3" t="s">
        <v>4</v>
      </c>
      <c r="F13" s="3" t="s">
        <v>24</v>
      </c>
      <c r="G13" s="3" t="s">
        <v>5</v>
      </c>
    </row>
    <row r="14" spans="1:7">
      <c r="A14" s="4" t="s">
        <v>0</v>
      </c>
      <c r="B14" s="30">
        <f>'Scenario A (Y2)'!B14*1.15</f>
        <v>1064.6124999999997</v>
      </c>
      <c r="C14" s="30">
        <f>'Scenario A (Y2)'!C14*1.15</f>
        <v>1442.56</v>
      </c>
      <c r="D14" s="30">
        <f>'Scenario A (Y2)'!D14*1.15</f>
        <v>2484</v>
      </c>
      <c r="E14" s="30">
        <f>'Scenario A (Y2)'!E14*1.15</f>
        <v>800.62999999999988</v>
      </c>
      <c r="F14" s="30">
        <f>'Scenario A (Y2)'!F14*1.15</f>
        <v>1216.6999999999996</v>
      </c>
      <c r="G14" s="30">
        <f>'Scenario A (Y2)'!G14*1.15</f>
        <v>1442.56</v>
      </c>
    </row>
    <row r="15" spans="1:7">
      <c r="A15" s="4" t="s">
        <v>1</v>
      </c>
      <c r="B15" s="30">
        <f>'Scenario A (Y2)'!B15*1.15</f>
        <v>608.3499999999998</v>
      </c>
      <c r="C15" s="30">
        <f>'Scenario A (Y2)'!C15*1.15</f>
        <v>1009.7920000000001</v>
      </c>
      <c r="D15" s="30">
        <f>'Scenario A (Y2)'!D15*1.15</f>
        <v>1655.9999999999998</v>
      </c>
      <c r="E15" s="30">
        <f>'Scenario A (Y2)'!E15*1.15</f>
        <v>480.37799999999993</v>
      </c>
      <c r="F15" s="30">
        <f>'Scenario A (Y2)'!F15*1.15</f>
        <v>684.39374999999995</v>
      </c>
      <c r="G15" s="30">
        <f>'Scenario A (Y2)'!G15*1.15</f>
        <v>1081.92</v>
      </c>
    </row>
    <row r="16" spans="1:7">
      <c r="A16" s="4" t="s">
        <v>44</v>
      </c>
      <c r="B16" s="30">
        <f>'Scenario A (Y2)'!B16*1.15</f>
        <v>1672.9624999999994</v>
      </c>
      <c r="C16" s="30">
        <f>'Scenario A (Y2)'!C16*1.15</f>
        <v>2452.3520000000003</v>
      </c>
      <c r="D16" s="30">
        <f>'Scenario A (Y2)'!D16*1.15</f>
        <v>4140</v>
      </c>
      <c r="E16" s="30">
        <f>'Scenario A (Y2)'!E16*1.15</f>
        <v>1281.0079999999998</v>
      </c>
      <c r="F16" s="30">
        <f>'Scenario A (Y2)'!F16*1.15</f>
        <v>1901.0937499999995</v>
      </c>
      <c r="G16" s="30">
        <f>'Scenario A (Y2)'!G16*1.15</f>
        <v>2524.48</v>
      </c>
    </row>
    <row r="19" spans="1:10">
      <c r="B19" s="44" t="s">
        <v>26</v>
      </c>
      <c r="C19" s="44"/>
      <c r="D19" s="44"/>
      <c r="E19" s="44"/>
      <c r="F19" s="44"/>
      <c r="G19" s="44"/>
    </row>
    <row r="20" spans="1:10" ht="31.5" customHeight="1">
      <c r="A20" s="8" t="s">
        <v>27</v>
      </c>
      <c r="B20" s="3" t="s">
        <v>23</v>
      </c>
      <c r="C20" s="3" t="s">
        <v>2</v>
      </c>
      <c r="D20" s="3" t="s">
        <v>3</v>
      </c>
      <c r="E20" s="3" t="s">
        <v>4</v>
      </c>
      <c r="F20" s="3" t="s">
        <v>24</v>
      </c>
      <c r="G20" s="3" t="s">
        <v>5</v>
      </c>
    </row>
    <row r="21" spans="1:10">
      <c r="A21" s="4" t="s">
        <v>10</v>
      </c>
      <c r="B21" s="5">
        <f>'Scenario A (Y2)'!B21*1.15</f>
        <v>0.15208749999999996</v>
      </c>
      <c r="C21" s="5">
        <f>'Scenario A (Y2)'!C21*1.15</f>
        <v>0.18250499999999997</v>
      </c>
      <c r="D21" s="5">
        <f>'Scenario A (Y2)'!D21*1.15</f>
        <v>0.16729624999999998</v>
      </c>
      <c r="E21" s="5">
        <f>'Scenario A (Y2)'!E21*1.15</f>
        <v>0.30417499999999992</v>
      </c>
      <c r="F21" s="5">
        <f>'Scenario A (Y2)'!F21*1.15</f>
        <v>0.33459249999999996</v>
      </c>
      <c r="G21" s="5">
        <f>'Scenario A (Y2)'!G21*1.15</f>
        <v>0.36500999999999995</v>
      </c>
    </row>
    <row r="22" spans="1:10">
      <c r="A22" s="4" t="s">
        <v>6</v>
      </c>
      <c r="B22" s="5">
        <f>'Scenario A (Y2)'!B22*1.15</f>
        <v>0.15208749999999996</v>
      </c>
      <c r="C22" s="5">
        <f>'Scenario A (Y2)'!C22*1.15</f>
        <v>0.18250499999999997</v>
      </c>
      <c r="D22" s="5">
        <f>'Scenario A (Y2)'!D22*1.15</f>
        <v>6.0834999999999993E-2</v>
      </c>
      <c r="E22" s="5">
        <f>'Scenario A (Y2)'!E22*1.15</f>
        <v>0.18250499999999997</v>
      </c>
      <c r="F22" s="5">
        <f>'Scenario A (Y2)'!F22*1.15</f>
        <v>0.22813124999999995</v>
      </c>
      <c r="G22" s="5">
        <f>'Scenario A (Y2)'!G22*1.15</f>
        <v>0.25854874999999999</v>
      </c>
    </row>
    <row r="23" spans="1:10">
      <c r="A23" s="4" t="s">
        <v>7</v>
      </c>
      <c r="B23" s="5">
        <f>'Scenario A (Y2)'!B23*1.15</f>
        <v>0.27375749999999993</v>
      </c>
      <c r="C23" s="5">
        <f>'Scenario A (Y2)'!C23*1.15</f>
        <v>0.24333999999999997</v>
      </c>
      <c r="D23" s="5">
        <f>'Scenario A (Y2)'!D23*1.15</f>
        <v>7.6043749999999979E-2</v>
      </c>
      <c r="E23" s="5">
        <f>'Scenario A (Y2)'!E23*1.15</f>
        <v>6.0834999999999993E-2</v>
      </c>
      <c r="F23" s="5">
        <f>'Scenario A (Y2)'!F23*1.15</f>
        <v>0.15208749999999996</v>
      </c>
      <c r="G23" s="5">
        <f>'Scenario A (Y2)'!G23*1.15</f>
        <v>0.16729624999999998</v>
      </c>
      <c r="I23" t="s">
        <v>28</v>
      </c>
    </row>
    <row r="24" spans="1:10">
      <c r="A24" s="4" t="s">
        <v>8</v>
      </c>
      <c r="B24" s="5">
        <f>'Scenario A (Y2)'!B24*1.15</f>
        <v>0.33459249999999996</v>
      </c>
      <c r="C24" s="5">
        <f>'Scenario A (Y2)'!C24*1.15</f>
        <v>0.36500999999999995</v>
      </c>
      <c r="D24" s="5">
        <f>'Scenario A (Y2)'!D24*1.15</f>
        <v>0.15208749999999996</v>
      </c>
      <c r="E24" s="5">
        <f>'Scenario A (Y2)'!E24*1.15</f>
        <v>0.19771374999999994</v>
      </c>
      <c r="F24" s="5">
        <f>'Scenario A (Y2)'!F24*1.15</f>
        <v>6.0834999999999993E-2</v>
      </c>
      <c r="G24" s="5">
        <f>'Scenario A (Y2)'!G24*1.15</f>
        <v>7.6043749999999979E-2</v>
      </c>
      <c r="I24" s="9"/>
      <c r="J24" t="s">
        <v>29</v>
      </c>
    </row>
    <row r="27" spans="1:10">
      <c r="B27" s="41" t="s">
        <v>30</v>
      </c>
      <c r="C27" s="41"/>
      <c r="D27" s="41"/>
      <c r="E27" s="41"/>
      <c r="F27" s="41"/>
      <c r="G27" s="41"/>
      <c r="H27" s="41"/>
    </row>
    <row r="28" spans="1:10" ht="30">
      <c r="A28" s="8" t="s">
        <v>31</v>
      </c>
      <c r="B28" s="3" t="s">
        <v>23</v>
      </c>
      <c r="C28" s="3" t="s">
        <v>2</v>
      </c>
      <c r="D28" s="3" t="s">
        <v>3</v>
      </c>
      <c r="E28" s="3" t="s">
        <v>4</v>
      </c>
      <c r="F28" s="3" t="s">
        <v>24</v>
      </c>
      <c r="G28" s="3" t="s">
        <v>5</v>
      </c>
      <c r="H28" s="10" t="s">
        <v>32</v>
      </c>
      <c r="I28" s="10" t="s">
        <v>33</v>
      </c>
      <c r="J28" s="10" t="s">
        <v>34</v>
      </c>
    </row>
    <row r="29" spans="1:10">
      <c r="A29" s="4" t="s">
        <v>10</v>
      </c>
      <c r="B29" s="24">
        <v>1064.6125</v>
      </c>
      <c r="C29" s="24">
        <v>1442.5599999999997</v>
      </c>
      <c r="D29" s="24">
        <v>2483.9999999999991</v>
      </c>
      <c r="E29" s="24">
        <v>800.62999999999965</v>
      </c>
      <c r="F29" s="24">
        <v>208.1975000000015</v>
      </c>
      <c r="G29" s="24">
        <v>0</v>
      </c>
      <c r="H29" s="18">
        <f>IF(I29&gt;0,1,0)</f>
        <v>1</v>
      </c>
      <c r="I29" s="17">
        <f>SUM(B29:G29)</f>
        <v>5999.9999999999991</v>
      </c>
      <c r="J29" s="19">
        <f>6000-I29</f>
        <v>0</v>
      </c>
    </row>
    <row r="30" spans="1:10">
      <c r="A30" s="4" t="s">
        <v>6</v>
      </c>
      <c r="B30" s="18">
        <v>0</v>
      </c>
      <c r="C30" s="18">
        <v>0</v>
      </c>
      <c r="D30" s="18">
        <v>0</v>
      </c>
      <c r="E30" s="18">
        <v>0</v>
      </c>
      <c r="F30" s="18">
        <v>0</v>
      </c>
      <c r="G30" s="18">
        <v>0</v>
      </c>
      <c r="H30" s="18">
        <f t="shared" ref="H30:H32" si="0">IF(I30&gt;0,1,0)</f>
        <v>0</v>
      </c>
      <c r="I30" s="25">
        <f>SUM(B30:G30)</f>
        <v>0</v>
      </c>
      <c r="J30" s="28">
        <f>6000-I30</f>
        <v>6000</v>
      </c>
    </row>
    <row r="31" spans="1:10">
      <c r="A31" s="4" t="s">
        <v>7</v>
      </c>
      <c r="B31" s="18">
        <v>0</v>
      </c>
      <c r="C31" s="18">
        <v>0</v>
      </c>
      <c r="D31" s="18">
        <v>0</v>
      </c>
      <c r="E31" s="18">
        <v>0</v>
      </c>
      <c r="F31" s="18">
        <v>0</v>
      </c>
      <c r="G31" s="18">
        <v>0</v>
      </c>
      <c r="H31" s="18">
        <f t="shared" si="0"/>
        <v>0</v>
      </c>
      <c r="I31" s="25">
        <f t="shared" ref="I31:I32" si="1">SUM(B31:G31)</f>
        <v>0</v>
      </c>
      <c r="J31" s="28">
        <f>7000-I31</f>
        <v>7000</v>
      </c>
    </row>
    <row r="32" spans="1:10">
      <c r="A32" s="4" t="s">
        <v>8</v>
      </c>
      <c r="B32" s="24">
        <v>0</v>
      </c>
      <c r="C32" s="24">
        <v>0</v>
      </c>
      <c r="D32" s="24">
        <v>0</v>
      </c>
      <c r="E32" s="24">
        <v>0</v>
      </c>
      <c r="F32" s="24">
        <v>1008.5024999999983</v>
      </c>
      <c r="G32" s="24">
        <v>1442.5600000000006</v>
      </c>
      <c r="H32" s="18">
        <f t="shared" si="0"/>
        <v>1</v>
      </c>
      <c r="I32" s="25">
        <f t="shared" si="1"/>
        <v>2451.0624999999991</v>
      </c>
      <c r="J32" s="28">
        <f>7500-I32</f>
        <v>5048.9375000000009</v>
      </c>
    </row>
    <row r="33" spans="1:10">
      <c r="A33" s="4" t="s">
        <v>35</v>
      </c>
      <c r="B33" s="25">
        <f>SUM(B29:B32)</f>
        <v>1064.6125</v>
      </c>
      <c r="C33" s="25">
        <f t="shared" ref="C33:G33" si="2">SUM(C29:C32)</f>
        <v>1442.5599999999997</v>
      </c>
      <c r="D33" s="25">
        <f t="shared" si="2"/>
        <v>2483.9999999999991</v>
      </c>
      <c r="E33" s="25">
        <f t="shared" si="2"/>
        <v>800.62999999999965</v>
      </c>
      <c r="F33" s="25">
        <f t="shared" si="2"/>
        <v>1216.6999999999998</v>
      </c>
      <c r="G33" s="25">
        <f t="shared" si="2"/>
        <v>1442.5600000000006</v>
      </c>
    </row>
    <row r="34" spans="1:10">
      <c r="A34" s="4" t="s">
        <v>36</v>
      </c>
      <c r="B34" s="28">
        <f>B14-B33</f>
        <v>0</v>
      </c>
      <c r="C34" s="28">
        <f t="shared" ref="C34:G34" si="3">C14-C33</f>
        <v>0</v>
      </c>
      <c r="D34" s="28">
        <f t="shared" si="3"/>
        <v>0</v>
      </c>
      <c r="E34" s="28">
        <f t="shared" si="3"/>
        <v>0</v>
      </c>
      <c r="F34" s="28">
        <f t="shared" si="3"/>
        <v>0</v>
      </c>
      <c r="G34" s="28">
        <f t="shared" si="3"/>
        <v>0</v>
      </c>
    </row>
    <row r="37" spans="1:10">
      <c r="B37" s="41" t="s">
        <v>37</v>
      </c>
      <c r="C37" s="41"/>
      <c r="D37" s="41"/>
      <c r="E37" s="41"/>
      <c r="F37" s="41"/>
      <c r="G37" s="41"/>
      <c r="H37" s="41"/>
    </row>
    <row r="38" spans="1:10" ht="30">
      <c r="A38" s="12" t="s">
        <v>31</v>
      </c>
      <c r="B38" s="3" t="s">
        <v>23</v>
      </c>
      <c r="C38" s="3" t="s">
        <v>2</v>
      </c>
      <c r="D38" s="3" t="s">
        <v>3</v>
      </c>
      <c r="E38" s="3" t="s">
        <v>4</v>
      </c>
      <c r="F38" s="3" t="s">
        <v>24</v>
      </c>
      <c r="G38" s="3" t="s">
        <v>5</v>
      </c>
      <c r="H38" s="10" t="s">
        <v>32</v>
      </c>
      <c r="I38" s="10" t="s">
        <v>33</v>
      </c>
      <c r="J38" s="10" t="s">
        <v>34</v>
      </c>
    </row>
    <row r="39" spans="1:10">
      <c r="A39" t="s">
        <v>10</v>
      </c>
      <c r="B39" s="24">
        <v>608.34999999999968</v>
      </c>
      <c r="C39" s="24">
        <v>1009.7920000000004</v>
      </c>
      <c r="D39" s="24">
        <v>1655.9999999999998</v>
      </c>
      <c r="E39" s="24">
        <v>480.3780000000001</v>
      </c>
      <c r="F39" s="24">
        <v>245.4800008863366</v>
      </c>
      <c r="G39" s="24">
        <v>0</v>
      </c>
      <c r="H39" s="18">
        <f>IF(I39&gt;0,1,0)</f>
        <v>1</v>
      </c>
      <c r="I39" s="25">
        <f>SUM(B39:G39)</f>
        <v>4000.0000008863367</v>
      </c>
      <c r="J39" s="28">
        <f>4000-I39</f>
        <v>-8.8633669292903505E-7</v>
      </c>
    </row>
    <row r="40" spans="1:10">
      <c r="A40" t="s">
        <v>6</v>
      </c>
      <c r="B40" s="18">
        <v>0</v>
      </c>
      <c r="C40" s="18">
        <v>0</v>
      </c>
      <c r="D40" s="18">
        <v>0</v>
      </c>
      <c r="E40" s="18">
        <v>0</v>
      </c>
      <c r="F40" s="18">
        <v>0</v>
      </c>
      <c r="G40" s="18">
        <v>0</v>
      </c>
      <c r="H40" s="18">
        <f t="shared" ref="H40:H42" si="4">IF(I40&gt;0,1,0)</f>
        <v>0</v>
      </c>
      <c r="I40" s="25">
        <f t="shared" ref="I40:I42" si="5">SUM(B40:G40)</f>
        <v>0</v>
      </c>
      <c r="J40" s="28">
        <f>4500-I40</f>
        <v>4500</v>
      </c>
    </row>
    <row r="41" spans="1:10">
      <c r="A41" t="s">
        <v>7</v>
      </c>
      <c r="B41" s="18">
        <v>0</v>
      </c>
      <c r="C41" s="18">
        <v>0</v>
      </c>
      <c r="D41" s="18">
        <v>0</v>
      </c>
      <c r="E41" s="18">
        <v>0</v>
      </c>
      <c r="F41" s="18">
        <v>0</v>
      </c>
      <c r="G41" s="18">
        <v>0</v>
      </c>
      <c r="H41" s="18">
        <f t="shared" si="4"/>
        <v>0</v>
      </c>
      <c r="I41" s="25">
        <f t="shared" si="5"/>
        <v>0</v>
      </c>
      <c r="J41" s="28">
        <f>5200-I41</f>
        <v>5200</v>
      </c>
    </row>
    <row r="42" spans="1:10">
      <c r="A42" t="s">
        <v>8</v>
      </c>
      <c r="B42" s="24">
        <v>0</v>
      </c>
      <c r="C42" s="24">
        <v>0</v>
      </c>
      <c r="D42" s="24">
        <v>0</v>
      </c>
      <c r="E42" s="24">
        <v>0</v>
      </c>
      <c r="F42" s="24">
        <v>438.91374911366336</v>
      </c>
      <c r="G42" s="24">
        <v>1081.9199999999998</v>
      </c>
      <c r="H42" s="18">
        <f t="shared" si="4"/>
        <v>1</v>
      </c>
      <c r="I42" s="25">
        <f t="shared" si="5"/>
        <v>1520.8337491136631</v>
      </c>
      <c r="J42" s="28">
        <f>5500-I42</f>
        <v>3979.1662508863369</v>
      </c>
    </row>
    <row r="43" spans="1:10">
      <c r="A43" t="s">
        <v>35</v>
      </c>
      <c r="B43" s="26">
        <f>SUM(B39:B42)</f>
        <v>608.34999999999968</v>
      </c>
      <c r="C43" s="26">
        <f t="shared" ref="C43:G43" si="6">SUM(C39:C42)</f>
        <v>1009.7920000000004</v>
      </c>
      <c r="D43" s="26">
        <f t="shared" si="6"/>
        <v>1655.9999999999998</v>
      </c>
      <c r="E43" s="26">
        <f t="shared" si="6"/>
        <v>480.3780000000001</v>
      </c>
      <c r="F43" s="26">
        <f t="shared" si="6"/>
        <v>684.39374999999995</v>
      </c>
      <c r="G43" s="26">
        <f t="shared" si="6"/>
        <v>1081.9199999999998</v>
      </c>
      <c r="I43" s="21"/>
    </row>
    <row r="44" spans="1:10">
      <c r="A44" t="s">
        <v>36</v>
      </c>
      <c r="B44" s="28">
        <f>B15-B43</f>
        <v>0</v>
      </c>
      <c r="C44" s="28">
        <f t="shared" ref="C44:G44" si="7">C15-C43</f>
        <v>0</v>
      </c>
      <c r="D44" s="28">
        <f t="shared" si="7"/>
        <v>0</v>
      </c>
      <c r="E44" s="28">
        <f t="shared" si="7"/>
        <v>0</v>
      </c>
      <c r="F44" s="28">
        <f t="shared" si="7"/>
        <v>0</v>
      </c>
      <c r="G44" s="28">
        <f t="shared" si="7"/>
        <v>0</v>
      </c>
    </row>
    <row r="47" spans="1:10">
      <c r="A47" s="42" t="s">
        <v>38</v>
      </c>
      <c r="B47" s="42"/>
    </row>
    <row r="48" spans="1:10">
      <c r="A48" s="4" t="s">
        <v>14</v>
      </c>
      <c r="B48" s="15">
        <f>(IF(I29&gt;0,B6)+(IF(I30&gt;0,B7)+(IF(I31&gt;0,B8)+(IF(I32&gt;0,B9)))))+(IF(I39&gt;0,E6)+(IF(I40&gt;0,E7)+(IF(I41&gt;0,E8)+(IF(I42&gt;0,E9)))))</f>
        <v>1060000</v>
      </c>
      <c r="D48" t="s">
        <v>28</v>
      </c>
    </row>
    <row r="49" spans="1:5">
      <c r="A49" s="4" t="s">
        <v>39</v>
      </c>
      <c r="B49" s="16">
        <f>(((SUM(B29:G29)*C6)+(SUM(B29:G29)*F6))+((SUM(B30:G30)*C7)+(SUM(B30:G30)*F7))+((SUM(B31:G31)*C8)+(SUM(B31:G31)*F8))+((SUM(B32:G32)*C9)+(SUM(B32:G32)*F9)))*360</f>
        <v>2345667.7499999995</v>
      </c>
      <c r="D49" s="1"/>
      <c r="E49" t="s">
        <v>40</v>
      </c>
    </row>
    <row r="50" spans="1:5">
      <c r="A50" s="4" t="s">
        <v>41</v>
      </c>
      <c r="B50" s="15">
        <f>360*(((SUMPRODUCT(B29:G29,B21:G21)+SUMPRODUCT(B39:G39,B21:G21))+((SUMPRODUCT(B30:G30,B22:G22)+SUMPRODUCT(B40:G40,B22:G22))+((SUMPRODUCT(B31:G31,B23:G23)+SUMPRODUCT(B41:G41,B23:G23))+((SUMPRODUCT(B32:G32,B24:G24)+SUMPRODUCT(B42:G42,B24:G24)))))))</f>
        <v>797789.46675920091</v>
      </c>
      <c r="D50" s="13"/>
      <c r="E50" t="s">
        <v>13</v>
      </c>
    </row>
    <row r="51" spans="1:5">
      <c r="A51" s="4" t="s">
        <v>43</v>
      </c>
      <c r="B51" s="15">
        <f>SUM(B48:B50)</f>
        <v>4203457.2167592002</v>
      </c>
      <c r="D51" s="14"/>
      <c r="E51" t="s">
        <v>42</v>
      </c>
    </row>
  </sheetData>
  <mergeCells count="8">
    <mergeCell ref="B37:H37"/>
    <mergeCell ref="A47:B47"/>
    <mergeCell ref="B3:G3"/>
    <mergeCell ref="B4:D4"/>
    <mergeCell ref="E4:G4"/>
    <mergeCell ref="B12:G12"/>
    <mergeCell ref="B19:G19"/>
    <mergeCell ref="B27:H27"/>
  </mergeCell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J38"/>
  <sheetViews>
    <sheetView topLeftCell="A12" workbookViewId="0">
      <selection activeCell="B28" sqref="A28:XFD38"/>
    </sheetView>
  </sheetViews>
  <sheetFormatPr defaultRowHeight="15"/>
  <cols>
    <col min="2" max="2" width="15" customWidth="1"/>
    <col min="3" max="3" width="11.140625" customWidth="1"/>
    <col min="4" max="4" width="11.42578125" customWidth="1"/>
    <col min="5" max="5" width="11.28515625" customWidth="1"/>
    <col min="7" max="7" width="12.42578125" customWidth="1"/>
    <col min="9" max="9" width="12.42578125" customWidth="1"/>
  </cols>
  <sheetData>
    <row r="1" spans="1:10">
      <c r="A1" t="s">
        <v>50</v>
      </c>
    </row>
    <row r="2" spans="1:10">
      <c r="A2" t="s">
        <v>51</v>
      </c>
    </row>
    <row r="3" spans="1:10" ht="15.75" thickBot="1"/>
    <row r="4" spans="1:10">
      <c r="A4" s="45" t="s">
        <v>46</v>
      </c>
      <c r="B4" s="31"/>
      <c r="C4" s="47" t="s">
        <v>48</v>
      </c>
      <c r="D4" s="47"/>
      <c r="E4" s="47"/>
      <c r="F4" s="47"/>
      <c r="G4" s="47"/>
      <c r="H4" s="47"/>
      <c r="I4" s="31"/>
      <c r="J4" s="32"/>
    </row>
    <row r="5" spans="1:10" ht="45">
      <c r="A5" s="46"/>
      <c r="B5" s="8" t="s">
        <v>31</v>
      </c>
      <c r="C5" s="3" t="s">
        <v>23</v>
      </c>
      <c r="D5" s="3" t="s">
        <v>2</v>
      </c>
      <c r="E5" s="3" t="s">
        <v>3</v>
      </c>
      <c r="F5" s="3" t="s">
        <v>4</v>
      </c>
      <c r="G5" s="3" t="s">
        <v>24</v>
      </c>
      <c r="H5" s="3" t="s">
        <v>5</v>
      </c>
      <c r="I5" s="10" t="s">
        <v>33</v>
      </c>
      <c r="J5" s="33"/>
    </row>
    <row r="6" spans="1:10">
      <c r="A6" s="46"/>
      <c r="B6" s="4" t="s">
        <v>10</v>
      </c>
      <c r="C6" s="24">
        <v>805.00000005123297</v>
      </c>
      <c r="D6" s="18">
        <v>1120.0000000000034</v>
      </c>
      <c r="E6" s="18">
        <v>1799.9999999846921</v>
      </c>
      <c r="F6" s="18">
        <v>590.00000000655325</v>
      </c>
      <c r="G6" s="18">
        <v>919.99999999999943</v>
      </c>
      <c r="H6" s="18">
        <v>764.99999995751853</v>
      </c>
      <c r="I6" s="17">
        <f>SUM(C6:H6)</f>
        <v>5999.9999999999991</v>
      </c>
      <c r="J6" s="33"/>
    </row>
    <row r="7" spans="1:10">
      <c r="A7" s="46"/>
      <c r="B7" s="4" t="s">
        <v>8</v>
      </c>
      <c r="C7" s="18">
        <v>0</v>
      </c>
      <c r="D7" s="18">
        <v>0</v>
      </c>
      <c r="E7" s="18">
        <v>0</v>
      </c>
      <c r="F7" s="18">
        <v>0</v>
      </c>
      <c r="G7" s="18">
        <v>0</v>
      </c>
      <c r="H7" s="18">
        <v>355.00000004248221</v>
      </c>
      <c r="I7" s="25">
        <f>SUM(C7:H7)</f>
        <v>355.00000004248221</v>
      </c>
      <c r="J7" s="33"/>
    </row>
    <row r="8" spans="1:10">
      <c r="A8" s="46"/>
      <c r="B8" s="20"/>
      <c r="C8" s="20"/>
      <c r="D8" s="20"/>
      <c r="E8" s="20"/>
      <c r="F8" s="20"/>
      <c r="G8" s="20"/>
      <c r="H8" s="20"/>
      <c r="I8" s="20"/>
      <c r="J8" s="33"/>
    </row>
    <row r="9" spans="1:10">
      <c r="A9" s="46"/>
      <c r="B9" s="20"/>
      <c r="C9" s="20"/>
      <c r="D9" s="20"/>
      <c r="E9" s="20"/>
      <c r="F9" s="20"/>
      <c r="G9" s="20"/>
      <c r="H9" s="20"/>
      <c r="I9" s="20"/>
      <c r="J9" s="33"/>
    </row>
    <row r="10" spans="1:10">
      <c r="A10" s="46"/>
      <c r="B10" s="44" t="s">
        <v>49</v>
      </c>
      <c r="C10" s="44"/>
      <c r="D10" s="44"/>
      <c r="E10" s="44"/>
      <c r="F10" s="44"/>
      <c r="G10" s="44"/>
      <c r="H10" s="44"/>
      <c r="I10" s="44"/>
      <c r="J10" s="33"/>
    </row>
    <row r="11" spans="1:10" ht="45">
      <c r="A11" s="46"/>
      <c r="B11" s="12" t="s">
        <v>31</v>
      </c>
      <c r="C11" s="3" t="s">
        <v>23</v>
      </c>
      <c r="D11" s="3" t="s">
        <v>2</v>
      </c>
      <c r="E11" s="3" t="s">
        <v>3</v>
      </c>
      <c r="F11" s="3" t="s">
        <v>4</v>
      </c>
      <c r="G11" s="3" t="s">
        <v>24</v>
      </c>
      <c r="H11" s="3" t="s">
        <v>5</v>
      </c>
      <c r="I11" s="10" t="s">
        <v>33</v>
      </c>
      <c r="J11" s="33"/>
    </row>
    <row r="12" spans="1:10">
      <c r="A12" s="46"/>
      <c r="B12" s="20" t="s">
        <v>10</v>
      </c>
      <c r="C12" s="18">
        <v>459.99999999999994</v>
      </c>
      <c r="D12" s="18">
        <v>784.00000000000011</v>
      </c>
      <c r="E12" s="24">
        <v>1200.0000009843989</v>
      </c>
      <c r="F12" s="18">
        <v>354.00000002448132</v>
      </c>
      <c r="G12" s="24">
        <v>517.49999989679236</v>
      </c>
      <c r="H12" s="24">
        <v>684.49999909432665</v>
      </c>
      <c r="I12" s="17">
        <f>SUM(C12:H12)</f>
        <v>3999.9999999999991</v>
      </c>
      <c r="J12" s="33"/>
    </row>
    <row r="13" spans="1:10">
      <c r="A13" s="46"/>
      <c r="B13" s="20" t="s">
        <v>8</v>
      </c>
      <c r="C13" s="18">
        <v>0</v>
      </c>
      <c r="D13" s="18">
        <v>0</v>
      </c>
      <c r="E13" s="18">
        <v>0</v>
      </c>
      <c r="F13" s="18">
        <v>0</v>
      </c>
      <c r="G13" s="18">
        <v>0</v>
      </c>
      <c r="H13" s="24">
        <v>155.5000009056732</v>
      </c>
      <c r="I13" s="25">
        <f>SUM(C13:H13)</f>
        <v>155.5000009056732</v>
      </c>
      <c r="J13" s="33"/>
    </row>
    <row r="14" spans="1:10" ht="15.75" thickBot="1">
      <c r="A14" s="34"/>
      <c r="B14" s="35"/>
      <c r="C14" s="35"/>
      <c r="D14" s="35"/>
      <c r="E14" s="35"/>
      <c r="F14" s="35"/>
      <c r="G14" s="35"/>
      <c r="H14" s="35"/>
      <c r="I14" s="35"/>
      <c r="J14" s="36"/>
    </row>
    <row r="15" spans="1:10" ht="15.75" thickBot="1"/>
    <row r="16" spans="1:10">
      <c r="A16" s="45" t="s">
        <v>11</v>
      </c>
      <c r="B16" s="31"/>
      <c r="C16" s="47" t="s">
        <v>48</v>
      </c>
      <c r="D16" s="47"/>
      <c r="E16" s="47"/>
      <c r="F16" s="47"/>
      <c r="G16" s="47"/>
      <c r="H16" s="47"/>
      <c r="I16" s="31"/>
      <c r="J16" s="32"/>
    </row>
    <row r="17" spans="1:10" ht="45">
      <c r="A17" s="46"/>
      <c r="B17" s="37" t="s">
        <v>31</v>
      </c>
      <c r="C17" s="38" t="s">
        <v>23</v>
      </c>
      <c r="D17" s="38" t="s">
        <v>2</v>
      </c>
      <c r="E17" s="38" t="s">
        <v>3</v>
      </c>
      <c r="F17" s="38" t="s">
        <v>4</v>
      </c>
      <c r="G17" s="38" t="s">
        <v>24</v>
      </c>
      <c r="H17" s="38" t="s">
        <v>5</v>
      </c>
      <c r="I17" s="39" t="s">
        <v>33</v>
      </c>
      <c r="J17" s="33"/>
    </row>
    <row r="18" spans="1:10">
      <c r="A18" s="46"/>
      <c r="B18" s="4" t="s">
        <v>10</v>
      </c>
      <c r="C18" s="24">
        <v>791.35002278804325</v>
      </c>
      <c r="D18" s="24">
        <v>1119.9999468279011</v>
      </c>
      <c r="E18" s="24">
        <v>1841.8500076384944</v>
      </c>
      <c r="F18" s="24">
        <v>561.80002278804329</v>
      </c>
      <c r="G18" s="24">
        <v>919.99999999999943</v>
      </c>
      <c r="H18" s="24">
        <v>764.99999995751853</v>
      </c>
      <c r="I18" s="17">
        <f>SUM(C18:H18)</f>
        <v>5999.9999999999991</v>
      </c>
      <c r="J18" s="33"/>
    </row>
    <row r="19" spans="1:10">
      <c r="A19" s="46"/>
      <c r="B19" s="4" t="s">
        <v>8</v>
      </c>
      <c r="C19" s="24">
        <v>134.39997721195661</v>
      </c>
      <c r="D19" s="24">
        <v>134.40005317209895</v>
      </c>
      <c r="E19" s="24">
        <v>134.40005317209895</v>
      </c>
      <c r="F19" s="24">
        <v>134.39997721195661</v>
      </c>
      <c r="G19" s="24">
        <v>134.39997721195661</v>
      </c>
      <c r="H19" s="24">
        <v>489.40000004248157</v>
      </c>
      <c r="I19" s="25">
        <f>SUM(C19:H19)</f>
        <v>1161.4000380225493</v>
      </c>
      <c r="J19" s="33"/>
    </row>
    <row r="20" spans="1:10">
      <c r="A20" s="46"/>
      <c r="B20" s="20"/>
      <c r="C20" s="20"/>
      <c r="D20" s="20"/>
      <c r="E20" s="20"/>
      <c r="F20" s="20"/>
      <c r="G20" s="20"/>
      <c r="H20" s="20"/>
      <c r="I20" s="20"/>
      <c r="J20" s="33"/>
    </row>
    <row r="21" spans="1:10">
      <c r="A21" s="46"/>
      <c r="B21" s="20"/>
      <c r="C21" s="20"/>
      <c r="D21" s="20"/>
      <c r="E21" s="20"/>
      <c r="F21" s="20"/>
      <c r="G21" s="20"/>
      <c r="H21" s="20"/>
      <c r="I21" s="20"/>
      <c r="J21" s="33"/>
    </row>
    <row r="22" spans="1:10">
      <c r="A22" s="46"/>
      <c r="B22" s="44" t="s">
        <v>37</v>
      </c>
      <c r="C22" s="44"/>
      <c r="D22" s="44"/>
      <c r="E22" s="44"/>
      <c r="F22" s="44"/>
      <c r="G22" s="44"/>
      <c r="H22" s="44"/>
      <c r="I22" s="44"/>
      <c r="J22" s="33"/>
    </row>
    <row r="23" spans="1:10" ht="45">
      <c r="A23" s="46"/>
      <c r="B23" s="12" t="s">
        <v>31</v>
      </c>
      <c r="C23" s="3" t="s">
        <v>23</v>
      </c>
      <c r="D23" s="3" t="s">
        <v>2</v>
      </c>
      <c r="E23" s="3" t="s">
        <v>3</v>
      </c>
      <c r="F23" s="3" t="s">
        <v>4</v>
      </c>
      <c r="G23" s="3" t="s">
        <v>24</v>
      </c>
      <c r="H23" s="3" t="s">
        <v>5</v>
      </c>
      <c r="I23" s="10" t="s">
        <v>33</v>
      </c>
      <c r="J23" s="33"/>
    </row>
    <row r="24" spans="1:10">
      <c r="A24" s="46"/>
      <c r="B24" s="20" t="s">
        <v>10</v>
      </c>
      <c r="C24" s="24">
        <v>421.46249128892862</v>
      </c>
      <c r="D24" s="24">
        <v>770.54252926900006</v>
      </c>
      <c r="E24" s="24">
        <v>1332.4624533088577</v>
      </c>
      <c r="F24" s="24">
        <v>310.18249128892865</v>
      </c>
      <c r="G24" s="24">
        <v>487.58752926899984</v>
      </c>
      <c r="H24" s="24">
        <v>677.76250557528419</v>
      </c>
      <c r="I24" s="17">
        <f>SUM(C24:H24)</f>
        <v>3999.9999999999991</v>
      </c>
      <c r="J24" s="33"/>
    </row>
    <row r="25" spans="1:10">
      <c r="A25" s="46"/>
      <c r="B25" s="20" t="s">
        <v>8</v>
      </c>
      <c r="C25" s="24">
        <v>107.53750871107123</v>
      </c>
      <c r="D25" s="24">
        <v>107.53747073100006</v>
      </c>
      <c r="E25" s="24">
        <v>107.5375466911424</v>
      </c>
      <c r="F25" s="24">
        <v>107.53750871107123</v>
      </c>
      <c r="G25" s="24">
        <v>107.53747073100006</v>
      </c>
      <c r="H25" s="24">
        <v>263.03749442471593</v>
      </c>
      <c r="I25" s="25">
        <f>SUM(C25:H25)</f>
        <v>800.72500000000082</v>
      </c>
      <c r="J25" s="33"/>
    </row>
    <row r="26" spans="1:10" ht="15.75" thickBot="1">
      <c r="A26" s="34"/>
      <c r="B26" s="35"/>
      <c r="C26" s="35"/>
      <c r="D26" s="35"/>
      <c r="E26" s="35"/>
      <c r="F26" s="35"/>
      <c r="G26" s="35"/>
      <c r="H26" s="35"/>
      <c r="I26" s="35"/>
      <c r="J26" s="36"/>
    </row>
    <row r="27" spans="1:10" ht="15.75" thickBot="1"/>
    <row r="28" spans="1:10">
      <c r="A28" s="45" t="s">
        <v>12</v>
      </c>
      <c r="B28" s="31"/>
      <c r="C28" s="47" t="s">
        <v>47</v>
      </c>
      <c r="D28" s="47"/>
      <c r="E28" s="47"/>
      <c r="F28" s="47"/>
      <c r="G28" s="47"/>
      <c r="H28" s="47"/>
      <c r="I28" s="31"/>
      <c r="J28" s="32"/>
    </row>
    <row r="29" spans="1:10" ht="45">
      <c r="A29" s="46"/>
      <c r="B29" s="37" t="s">
        <v>31</v>
      </c>
      <c r="C29" s="38" t="s">
        <v>23</v>
      </c>
      <c r="D29" s="38" t="s">
        <v>2</v>
      </c>
      <c r="E29" s="38" t="s">
        <v>3</v>
      </c>
      <c r="F29" s="38" t="s">
        <v>4</v>
      </c>
      <c r="G29" s="38" t="s">
        <v>24</v>
      </c>
      <c r="H29" s="38" t="s">
        <v>5</v>
      </c>
      <c r="I29" s="39" t="s">
        <v>33</v>
      </c>
      <c r="J29" s="33"/>
    </row>
    <row r="30" spans="1:10">
      <c r="A30" s="46"/>
      <c r="B30" s="4" t="s">
        <v>10</v>
      </c>
      <c r="C30" s="24">
        <v>1064.6125</v>
      </c>
      <c r="D30" s="24">
        <v>1442.5599999999997</v>
      </c>
      <c r="E30" s="24">
        <v>2483.9999999999991</v>
      </c>
      <c r="F30" s="24">
        <v>800.62999999999965</v>
      </c>
      <c r="G30" s="24">
        <v>208.1975000000015</v>
      </c>
      <c r="H30" s="24">
        <v>0</v>
      </c>
      <c r="I30" s="17">
        <f>SUM(C30:H30)</f>
        <v>5999.9999999999991</v>
      </c>
      <c r="J30" s="33"/>
    </row>
    <row r="31" spans="1:10">
      <c r="A31" s="46"/>
      <c r="B31" s="4" t="s">
        <v>8</v>
      </c>
      <c r="C31" s="24">
        <v>0</v>
      </c>
      <c r="D31" s="24">
        <v>0</v>
      </c>
      <c r="E31" s="24">
        <v>0</v>
      </c>
      <c r="F31" s="24">
        <v>0</v>
      </c>
      <c r="G31" s="24">
        <v>1008.5024999999983</v>
      </c>
      <c r="H31" s="24">
        <v>1442.5600000000006</v>
      </c>
      <c r="I31" s="25">
        <f>SUM(C31:H31)</f>
        <v>2451.0624999999991</v>
      </c>
      <c r="J31" s="33"/>
    </row>
    <row r="32" spans="1:10">
      <c r="A32" s="46"/>
      <c r="B32" s="20"/>
      <c r="C32" s="20"/>
      <c r="D32" s="20"/>
      <c r="E32" s="20"/>
      <c r="F32" s="20"/>
      <c r="G32" s="20"/>
      <c r="H32" s="20"/>
      <c r="I32" s="20"/>
      <c r="J32" s="33"/>
    </row>
    <row r="33" spans="1:10">
      <c r="A33" s="46"/>
      <c r="B33" s="20"/>
      <c r="C33" s="20"/>
      <c r="D33" s="20"/>
      <c r="E33" s="20"/>
      <c r="F33" s="20"/>
      <c r="G33" s="20"/>
      <c r="H33" s="20"/>
      <c r="I33" s="20"/>
      <c r="J33" s="33"/>
    </row>
    <row r="34" spans="1:10">
      <c r="A34" s="46"/>
      <c r="B34" s="44" t="s">
        <v>49</v>
      </c>
      <c r="C34" s="44"/>
      <c r="D34" s="44"/>
      <c r="E34" s="44"/>
      <c r="F34" s="44"/>
      <c r="G34" s="44"/>
      <c r="H34" s="44"/>
      <c r="I34" s="44"/>
      <c r="J34" s="33"/>
    </row>
    <row r="35" spans="1:10" ht="45">
      <c r="A35" s="46"/>
      <c r="B35" s="40" t="s">
        <v>31</v>
      </c>
      <c r="C35" s="38" t="s">
        <v>23</v>
      </c>
      <c r="D35" s="38" t="s">
        <v>2</v>
      </c>
      <c r="E35" s="38" t="s">
        <v>3</v>
      </c>
      <c r="F35" s="38" t="s">
        <v>4</v>
      </c>
      <c r="G35" s="38" t="s">
        <v>24</v>
      </c>
      <c r="H35" s="38" t="s">
        <v>5</v>
      </c>
      <c r="I35" s="39" t="s">
        <v>33</v>
      </c>
      <c r="J35" s="33"/>
    </row>
    <row r="36" spans="1:10">
      <c r="A36" s="46"/>
      <c r="B36" s="20" t="s">
        <v>10</v>
      </c>
      <c r="C36" s="24">
        <v>608.34999999999968</v>
      </c>
      <c r="D36" s="24">
        <v>1009.7920000000004</v>
      </c>
      <c r="E36" s="24">
        <v>1655.9999999999998</v>
      </c>
      <c r="F36" s="24">
        <v>480.3780000000001</v>
      </c>
      <c r="G36" s="24">
        <v>245.4800008863366</v>
      </c>
      <c r="H36" s="24">
        <v>0</v>
      </c>
      <c r="I36" s="17">
        <f>SUM(C36:H36)</f>
        <v>4000.0000008863367</v>
      </c>
      <c r="J36" s="33"/>
    </row>
    <row r="37" spans="1:10">
      <c r="A37" s="46"/>
      <c r="B37" s="20" t="s">
        <v>8</v>
      </c>
      <c r="C37" s="24">
        <v>0</v>
      </c>
      <c r="D37" s="24">
        <v>0</v>
      </c>
      <c r="E37" s="24">
        <v>0</v>
      </c>
      <c r="F37" s="24">
        <v>0</v>
      </c>
      <c r="G37" s="24">
        <v>438.91374911366336</v>
      </c>
      <c r="H37" s="24">
        <v>1081.9199999999998</v>
      </c>
      <c r="I37" s="25">
        <f>SUM(C37:H37)</f>
        <v>1520.8337491136631</v>
      </c>
      <c r="J37" s="33"/>
    </row>
    <row r="38" spans="1:10" ht="15.75" thickBot="1">
      <c r="A38" s="34"/>
      <c r="B38" s="35"/>
      <c r="C38" s="35"/>
      <c r="D38" s="35"/>
      <c r="E38" s="35"/>
      <c r="F38" s="35"/>
      <c r="G38" s="35"/>
      <c r="H38" s="35"/>
      <c r="I38" s="35"/>
      <c r="J38" s="36"/>
    </row>
  </sheetData>
  <mergeCells count="9">
    <mergeCell ref="A28:A37"/>
    <mergeCell ref="C28:H28"/>
    <mergeCell ref="B34:I34"/>
    <mergeCell ref="A4:A13"/>
    <mergeCell ref="C4:H4"/>
    <mergeCell ref="B10:I10"/>
    <mergeCell ref="A16:A25"/>
    <mergeCell ref="C16:H16"/>
    <mergeCell ref="B22:I22"/>
  </mergeCells>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3:J66"/>
  <sheetViews>
    <sheetView topLeftCell="A24" workbookViewId="0">
      <selection activeCell="B40" sqref="B40:G41"/>
    </sheetView>
  </sheetViews>
  <sheetFormatPr defaultRowHeight="15"/>
  <cols>
    <col min="1" max="1" width="18.140625" customWidth="1"/>
    <col min="2" max="2" width="17.7109375" customWidth="1"/>
    <col min="3" max="7" width="12.7109375" customWidth="1"/>
    <col min="8" max="8" width="14.140625" customWidth="1"/>
    <col min="9" max="9" width="13.7109375" customWidth="1"/>
  </cols>
  <sheetData>
    <row r="3" spans="1:7">
      <c r="B3" s="42" t="s">
        <v>15</v>
      </c>
      <c r="C3" s="42"/>
      <c r="D3" s="42"/>
      <c r="E3" s="42"/>
      <c r="F3" s="42"/>
      <c r="G3" s="42"/>
    </row>
    <row r="4" spans="1:7">
      <c r="B4" s="43" t="s">
        <v>0</v>
      </c>
      <c r="C4" s="43"/>
      <c r="D4" s="43"/>
      <c r="E4" s="43" t="s">
        <v>1</v>
      </c>
      <c r="F4" s="43"/>
      <c r="G4" s="43"/>
    </row>
    <row r="5" spans="1:7" ht="30">
      <c r="A5" s="2" t="s">
        <v>16</v>
      </c>
      <c r="B5" s="3" t="s">
        <v>17</v>
      </c>
      <c r="C5" s="3" t="s">
        <v>18</v>
      </c>
      <c r="D5" s="3" t="s">
        <v>19</v>
      </c>
      <c r="E5" s="3" t="s">
        <v>17</v>
      </c>
      <c r="F5" s="3" t="s">
        <v>20</v>
      </c>
      <c r="G5" s="3" t="s">
        <v>19</v>
      </c>
    </row>
    <row r="6" spans="1:7">
      <c r="A6" s="4" t="s">
        <v>10</v>
      </c>
      <c r="B6" s="5">
        <v>200000</v>
      </c>
      <c r="C6" s="5">
        <v>0.3</v>
      </c>
      <c r="D6" s="6">
        <v>6000</v>
      </c>
      <c r="E6" s="5">
        <v>300000</v>
      </c>
      <c r="F6" s="5">
        <v>0.5</v>
      </c>
      <c r="G6" s="6">
        <v>4000</v>
      </c>
    </row>
    <row r="7" spans="1:7">
      <c r="A7" s="4" t="s">
        <v>6</v>
      </c>
      <c r="B7" s="5">
        <v>220000</v>
      </c>
      <c r="C7" s="5">
        <v>0.25</v>
      </c>
      <c r="D7" s="6">
        <v>6000</v>
      </c>
      <c r="E7" s="5">
        <v>300000</v>
      </c>
      <c r="F7" s="5">
        <v>0.45</v>
      </c>
      <c r="G7" s="6">
        <v>4500</v>
      </c>
    </row>
    <row r="8" spans="1:7">
      <c r="A8" s="4" t="s">
        <v>7</v>
      </c>
      <c r="B8" s="5">
        <v>240000</v>
      </c>
      <c r="C8" s="5">
        <v>0.25</v>
      </c>
      <c r="D8" s="6">
        <v>7000</v>
      </c>
      <c r="E8" s="5">
        <v>320000</v>
      </c>
      <c r="F8" s="5">
        <v>0.45</v>
      </c>
      <c r="G8" s="6">
        <v>5200</v>
      </c>
    </row>
    <row r="9" spans="1:7">
      <c r="A9" s="4" t="s">
        <v>8</v>
      </c>
      <c r="B9" s="5">
        <v>240000</v>
      </c>
      <c r="C9" s="5">
        <v>0.25</v>
      </c>
      <c r="D9" s="6">
        <v>7500</v>
      </c>
      <c r="E9" s="5">
        <v>320000</v>
      </c>
      <c r="F9" s="5">
        <v>0.45</v>
      </c>
      <c r="G9" s="6">
        <v>5500</v>
      </c>
    </row>
    <row r="12" spans="1:7">
      <c r="B12" s="42" t="s">
        <v>21</v>
      </c>
      <c r="C12" s="42"/>
      <c r="D12" s="42"/>
      <c r="E12" s="42"/>
      <c r="F12" s="42"/>
      <c r="G12" s="42"/>
    </row>
    <row r="13" spans="1:7" ht="30">
      <c r="A13" s="2" t="s">
        <v>22</v>
      </c>
      <c r="B13" s="3" t="s">
        <v>23</v>
      </c>
      <c r="C13" s="3" t="s">
        <v>2</v>
      </c>
      <c r="D13" s="3" t="s">
        <v>3</v>
      </c>
      <c r="E13" s="3" t="s">
        <v>4</v>
      </c>
      <c r="F13" s="3" t="s">
        <v>24</v>
      </c>
      <c r="G13" s="3" t="s">
        <v>5</v>
      </c>
    </row>
    <row r="14" spans="1:7">
      <c r="A14" s="4" t="s">
        <v>0</v>
      </c>
      <c r="B14" s="29">
        <f>700*1.15</f>
        <v>804.99999999999989</v>
      </c>
      <c r="C14" s="29">
        <f>1000*1.12</f>
        <v>1120</v>
      </c>
      <c r="D14" s="29">
        <f>1500*1.2</f>
        <v>1800</v>
      </c>
      <c r="E14" s="29">
        <f>500*1.18</f>
        <v>590</v>
      </c>
      <c r="F14" s="29">
        <f>800*1.15</f>
        <v>919.99999999999989</v>
      </c>
      <c r="G14" s="29">
        <f>1000*1.12</f>
        <v>1120</v>
      </c>
    </row>
    <row r="15" spans="1:7">
      <c r="A15" s="4" t="s">
        <v>1</v>
      </c>
      <c r="B15" s="29">
        <f>400*1.15</f>
        <v>459.99999999999994</v>
      </c>
      <c r="C15" s="29">
        <f>700*1.12</f>
        <v>784.00000000000011</v>
      </c>
      <c r="D15" s="29">
        <f>1000*1.2</f>
        <v>1200</v>
      </c>
      <c r="E15" s="29">
        <f>300*1.18</f>
        <v>354</v>
      </c>
      <c r="F15" s="30">
        <f>450*1.15</f>
        <v>517.5</v>
      </c>
      <c r="G15" s="29">
        <f>750*1.12</f>
        <v>840.00000000000011</v>
      </c>
    </row>
    <row r="16" spans="1:7">
      <c r="A16" s="4" t="s">
        <v>44</v>
      </c>
      <c r="B16" s="29">
        <f>SUM(B14:B15)</f>
        <v>1264.9999999999998</v>
      </c>
      <c r="C16" s="29">
        <f t="shared" ref="C16:G16" si="0">SUM(C14:C15)</f>
        <v>1904</v>
      </c>
      <c r="D16" s="29">
        <f t="shared" si="0"/>
        <v>3000</v>
      </c>
      <c r="E16" s="29">
        <f t="shared" si="0"/>
        <v>944</v>
      </c>
      <c r="F16" s="30">
        <f t="shared" si="0"/>
        <v>1437.5</v>
      </c>
      <c r="G16" s="29">
        <f t="shared" si="0"/>
        <v>1960</v>
      </c>
    </row>
    <row r="19" spans="1:10">
      <c r="B19" s="44" t="s">
        <v>26</v>
      </c>
      <c r="C19" s="44"/>
      <c r="D19" s="44"/>
      <c r="E19" s="44"/>
      <c r="F19" s="44"/>
      <c r="G19" s="44"/>
    </row>
    <row r="20" spans="1:10" ht="31.5" customHeight="1">
      <c r="A20" s="8" t="s">
        <v>27</v>
      </c>
      <c r="B20" s="3" t="s">
        <v>23</v>
      </c>
      <c r="C20" s="3" t="s">
        <v>2</v>
      </c>
      <c r="D20" s="3" t="s">
        <v>3</v>
      </c>
      <c r="E20" s="3" t="s">
        <v>4</v>
      </c>
      <c r="F20" s="3" t="s">
        <v>24</v>
      </c>
      <c r="G20" s="3" t="s">
        <v>5</v>
      </c>
    </row>
    <row r="21" spans="1:10">
      <c r="A21" s="4" t="s">
        <v>10</v>
      </c>
      <c r="B21" s="5">
        <f>0.1*1.15</f>
        <v>0.11499999999999999</v>
      </c>
      <c r="C21" s="5">
        <f>0.12*1.15</f>
        <v>0.13799999999999998</v>
      </c>
      <c r="D21" s="5">
        <f>0.11*1.15</f>
        <v>0.1265</v>
      </c>
      <c r="E21" s="5">
        <f>0.2*1.15</f>
        <v>0.22999999999999998</v>
      </c>
      <c r="F21" s="5">
        <f>0.22*1.15</f>
        <v>0.253</v>
      </c>
      <c r="G21" s="5">
        <f>0.24*1.15</f>
        <v>0.27599999999999997</v>
      </c>
    </row>
    <row r="22" spans="1:10">
      <c r="A22" s="4" t="s">
        <v>6</v>
      </c>
      <c r="B22" s="5">
        <f>0.1*1.15</f>
        <v>0.11499999999999999</v>
      </c>
      <c r="C22" s="5">
        <f>0.12*1.15</f>
        <v>0.13799999999999998</v>
      </c>
      <c r="D22" s="5">
        <f>0.04*1.15</f>
        <v>4.5999999999999999E-2</v>
      </c>
      <c r="E22" s="5">
        <f>0.12*1.15</f>
        <v>0.13799999999999998</v>
      </c>
      <c r="F22" s="5">
        <f>0.15*1.15</f>
        <v>0.17249999999999999</v>
      </c>
      <c r="G22" s="5">
        <f>0.17*1.15</f>
        <v>0.19550000000000001</v>
      </c>
    </row>
    <row r="23" spans="1:10">
      <c r="A23" s="4" t="s">
        <v>7</v>
      </c>
      <c r="B23" s="5">
        <f>0.18*1.15</f>
        <v>0.20699999999999999</v>
      </c>
      <c r="C23" s="5">
        <f>0.16*1.15</f>
        <v>0.184</v>
      </c>
      <c r="D23" s="5">
        <f>0.05*1.15</f>
        <v>5.7499999999999996E-2</v>
      </c>
      <c r="E23" s="5">
        <f>0.04*1.15</f>
        <v>4.5999999999999999E-2</v>
      </c>
      <c r="F23" s="5">
        <f>0.1*1.15</f>
        <v>0.11499999999999999</v>
      </c>
      <c r="G23" s="5">
        <f>0.11*1.15</f>
        <v>0.1265</v>
      </c>
      <c r="I23" t="s">
        <v>28</v>
      </c>
    </row>
    <row r="24" spans="1:10">
      <c r="A24" s="4" t="s">
        <v>8</v>
      </c>
      <c r="B24" s="5">
        <f>0.22*1.15</f>
        <v>0.253</v>
      </c>
      <c r="C24" s="5">
        <f>0.24*1.15</f>
        <v>0.27599999999999997</v>
      </c>
      <c r="D24" s="5">
        <f>0.1*1.15</f>
        <v>0.11499999999999999</v>
      </c>
      <c r="E24" s="5">
        <f>0.13*1.15</f>
        <v>0.14949999999999999</v>
      </c>
      <c r="F24" s="5">
        <f>0.04*1.15</f>
        <v>4.5999999999999999E-2</v>
      </c>
      <c r="G24" s="5">
        <f>0.05*1.15</f>
        <v>5.7499999999999996E-2</v>
      </c>
      <c r="I24" s="9"/>
      <c r="J24" t="s">
        <v>29</v>
      </c>
    </row>
    <row r="27" spans="1:10">
      <c r="B27" s="41" t="s">
        <v>30</v>
      </c>
      <c r="C27" s="41"/>
      <c r="D27" s="41"/>
      <c r="E27" s="41"/>
      <c r="F27" s="41"/>
      <c r="G27" s="41"/>
      <c r="H27" s="41"/>
    </row>
    <row r="28" spans="1:10" ht="30">
      <c r="A28" s="8" t="s">
        <v>31</v>
      </c>
      <c r="B28" s="3" t="s">
        <v>23</v>
      </c>
      <c r="C28" s="3" t="s">
        <v>2</v>
      </c>
      <c r="D28" s="3" t="s">
        <v>3</v>
      </c>
      <c r="E28" s="3" t="s">
        <v>4</v>
      </c>
      <c r="F28" s="3" t="s">
        <v>24</v>
      </c>
      <c r="G28" s="3" t="s">
        <v>5</v>
      </c>
      <c r="H28" s="10" t="s">
        <v>32</v>
      </c>
      <c r="I28" s="10" t="s">
        <v>33</v>
      </c>
      <c r="J28" s="10" t="s">
        <v>34</v>
      </c>
    </row>
    <row r="29" spans="1:10">
      <c r="A29" s="4" t="s">
        <v>10</v>
      </c>
      <c r="B29" s="24">
        <v>805.00000005123297</v>
      </c>
      <c r="C29" s="18">
        <v>1120.0000000000034</v>
      </c>
      <c r="D29" s="18">
        <v>1799.9999999846921</v>
      </c>
      <c r="E29" s="18">
        <v>590.00000000655325</v>
      </c>
      <c r="F29" s="18">
        <v>919.99999999999943</v>
      </c>
      <c r="G29" s="18">
        <v>764.99999995751853</v>
      </c>
      <c r="H29" s="18">
        <f>IF(I29&gt;0,1,0)</f>
        <v>1</v>
      </c>
      <c r="I29" s="17">
        <f>SUM(B29:G29)</f>
        <v>5999.9999999999991</v>
      </c>
      <c r="J29" s="19">
        <f>6000-I29</f>
        <v>0</v>
      </c>
    </row>
    <row r="30" spans="1:10">
      <c r="A30" s="4" t="s">
        <v>6</v>
      </c>
      <c r="B30" s="18">
        <v>0</v>
      </c>
      <c r="C30" s="18">
        <v>0</v>
      </c>
      <c r="D30" s="18">
        <v>0</v>
      </c>
      <c r="E30" s="18">
        <v>0</v>
      </c>
      <c r="F30" s="18">
        <v>0</v>
      </c>
      <c r="G30" s="18">
        <v>0</v>
      </c>
      <c r="H30" s="18">
        <f t="shared" ref="H30:H32" si="1">IF(I30&gt;0,1,0)</f>
        <v>0</v>
      </c>
      <c r="I30" s="25">
        <f>SUM(B30:G30)</f>
        <v>0</v>
      </c>
      <c r="J30" s="28">
        <f>6000-I30</f>
        <v>6000</v>
      </c>
    </row>
    <row r="31" spans="1:10">
      <c r="A31" s="4" t="s">
        <v>7</v>
      </c>
      <c r="B31" s="18">
        <v>0</v>
      </c>
      <c r="C31" s="18">
        <v>0</v>
      </c>
      <c r="D31" s="18">
        <v>0</v>
      </c>
      <c r="E31" s="18">
        <v>0</v>
      </c>
      <c r="F31" s="18">
        <v>0</v>
      </c>
      <c r="G31" s="18">
        <v>0</v>
      </c>
      <c r="H31" s="18">
        <f t="shared" si="1"/>
        <v>0</v>
      </c>
      <c r="I31" s="25">
        <f t="shared" ref="I31:I32" si="2">SUM(B31:G31)</f>
        <v>0</v>
      </c>
      <c r="J31" s="28">
        <f>7000-I31</f>
        <v>7000</v>
      </c>
    </row>
    <row r="32" spans="1:10">
      <c r="A32" s="4" t="s">
        <v>8</v>
      </c>
      <c r="B32" s="18">
        <v>0</v>
      </c>
      <c r="C32" s="18">
        <v>0</v>
      </c>
      <c r="D32" s="18">
        <v>0</v>
      </c>
      <c r="E32" s="18">
        <v>0</v>
      </c>
      <c r="F32" s="18">
        <v>0</v>
      </c>
      <c r="G32" s="18">
        <v>355.00000004248221</v>
      </c>
      <c r="H32" s="18">
        <f t="shared" si="1"/>
        <v>1</v>
      </c>
      <c r="I32" s="25">
        <f t="shared" si="2"/>
        <v>355.00000004248221</v>
      </c>
      <c r="J32" s="28">
        <f>7500-I32</f>
        <v>7144.9999999575175</v>
      </c>
    </row>
    <row r="33" spans="1:10">
      <c r="A33" s="4" t="s">
        <v>35</v>
      </c>
      <c r="B33" s="25">
        <f>SUM(B29:B32)</f>
        <v>805.00000005123297</v>
      </c>
      <c r="C33" s="25">
        <f t="shared" ref="C33:G33" si="3">SUM(C29:C32)</f>
        <v>1120.0000000000034</v>
      </c>
      <c r="D33" s="25">
        <f t="shared" si="3"/>
        <v>1799.9999999846921</v>
      </c>
      <c r="E33" s="25">
        <f t="shared" si="3"/>
        <v>590.00000000655325</v>
      </c>
      <c r="F33" s="25">
        <f t="shared" si="3"/>
        <v>919.99999999999943</v>
      </c>
      <c r="G33" s="25">
        <f t="shared" si="3"/>
        <v>1120.0000000000007</v>
      </c>
    </row>
    <row r="34" spans="1:10">
      <c r="A34" s="4" t="s">
        <v>36</v>
      </c>
      <c r="B34" s="28">
        <f>B14-B33</f>
        <v>-5.1233087106083985E-8</v>
      </c>
      <c r="C34" s="28">
        <f t="shared" ref="C34:G34" si="4">C14-C33</f>
        <v>-3.4106051316484809E-12</v>
      </c>
      <c r="D34" s="28">
        <f t="shared" si="4"/>
        <v>1.5307932699215598E-8</v>
      </c>
      <c r="E34" s="28">
        <f t="shared" si="4"/>
        <v>-6.5532503867871128E-9</v>
      </c>
      <c r="F34" s="28">
        <f t="shared" si="4"/>
        <v>0</v>
      </c>
      <c r="G34" s="28">
        <f t="shared" si="4"/>
        <v>0</v>
      </c>
    </row>
    <row r="37" spans="1:10">
      <c r="B37" s="41" t="s">
        <v>37</v>
      </c>
      <c r="C37" s="41"/>
      <c r="D37" s="41"/>
      <c r="E37" s="41"/>
      <c r="F37" s="41"/>
      <c r="G37" s="41"/>
      <c r="H37" s="41"/>
    </row>
    <row r="38" spans="1:10" ht="30">
      <c r="A38" s="12" t="s">
        <v>31</v>
      </c>
      <c r="B38" s="3" t="s">
        <v>23</v>
      </c>
      <c r="C38" s="3" t="s">
        <v>2</v>
      </c>
      <c r="D38" s="3" t="s">
        <v>3</v>
      </c>
      <c r="E38" s="3" t="s">
        <v>4</v>
      </c>
      <c r="F38" s="3" t="s">
        <v>24</v>
      </c>
      <c r="G38" s="3" t="s">
        <v>5</v>
      </c>
      <c r="H38" s="10" t="s">
        <v>32</v>
      </c>
      <c r="I38" s="10" t="s">
        <v>33</v>
      </c>
      <c r="J38" s="10" t="s">
        <v>34</v>
      </c>
    </row>
    <row r="39" spans="1:10">
      <c r="A39" t="s">
        <v>10</v>
      </c>
      <c r="B39" s="24">
        <v>0</v>
      </c>
      <c r="C39" s="24">
        <v>-9.9999999747524271E-7</v>
      </c>
      <c r="D39" s="24">
        <v>0</v>
      </c>
      <c r="E39" s="24">
        <v>4.000001524428059E-6</v>
      </c>
      <c r="F39" s="24">
        <v>-9.9999999925159955E-7</v>
      </c>
      <c r="G39" s="24">
        <v>-9.9999999747524271E-7</v>
      </c>
      <c r="H39" s="18">
        <v>0</v>
      </c>
      <c r="I39" s="25">
        <f>SUM(B39:G39)</f>
        <v>1.000001530225974E-6</v>
      </c>
      <c r="J39" s="19">
        <f>4000-I39</f>
        <v>3999.9999989999983</v>
      </c>
    </row>
    <row r="40" spans="1:10">
      <c r="A40" t="s">
        <v>6</v>
      </c>
      <c r="B40" s="24">
        <v>0</v>
      </c>
      <c r="C40" s="24">
        <v>0</v>
      </c>
      <c r="D40" s="24">
        <v>0</v>
      </c>
      <c r="E40" s="24">
        <v>353.99999699999205</v>
      </c>
      <c r="F40" s="24">
        <v>517.50000199999999</v>
      </c>
      <c r="G40" s="24">
        <v>840.000001</v>
      </c>
      <c r="H40" s="18">
        <f t="shared" ref="H40:H41" si="5">IF(I40&gt;0,1,0)</f>
        <v>1</v>
      </c>
      <c r="I40" s="25">
        <f t="shared" ref="I40:I42" si="6">SUM(B40:G40)</f>
        <v>1711.499999999992</v>
      </c>
      <c r="J40" s="28">
        <f>4500-I40</f>
        <v>2788.5000000000082</v>
      </c>
    </row>
    <row r="41" spans="1:10">
      <c r="A41" t="s">
        <v>7</v>
      </c>
      <c r="B41" s="24">
        <v>460.00000199964336</v>
      </c>
      <c r="C41" s="24">
        <v>783.99999800035187</v>
      </c>
      <c r="D41" s="24">
        <v>1199.9999999999329</v>
      </c>
      <c r="E41" s="24">
        <v>0</v>
      </c>
      <c r="F41" s="24">
        <v>0</v>
      </c>
      <c r="G41" s="24">
        <v>3.5527136788005009E-15</v>
      </c>
      <c r="H41" s="18">
        <f t="shared" si="5"/>
        <v>1</v>
      </c>
      <c r="I41" s="25">
        <f t="shared" si="6"/>
        <v>2443.9999999999281</v>
      </c>
      <c r="J41" s="28">
        <f>5200-I41</f>
        <v>2756.0000000000719</v>
      </c>
    </row>
    <row r="42" spans="1:10">
      <c r="A42" t="s">
        <v>8</v>
      </c>
      <c r="B42" s="24">
        <v>-9.9964323402200385E-7</v>
      </c>
      <c r="C42" s="24">
        <v>2.9996449187239232E-6</v>
      </c>
      <c r="D42" s="24">
        <v>0</v>
      </c>
      <c r="E42" s="24">
        <v>-9.999999999999972E-7</v>
      </c>
      <c r="F42" s="24">
        <v>-9.999999999999972E-7</v>
      </c>
      <c r="G42" s="24">
        <v>0</v>
      </c>
      <c r="H42" s="18">
        <v>0</v>
      </c>
      <c r="I42" s="25">
        <f t="shared" si="6"/>
        <v>1.6847019249479137E-12</v>
      </c>
      <c r="J42" s="28">
        <f>5500-I42</f>
        <v>5499.9999999999982</v>
      </c>
    </row>
    <row r="43" spans="1:10">
      <c r="A43" t="s">
        <v>35</v>
      </c>
      <c r="B43" s="26">
        <f>SUM(B39:B42)</f>
        <v>460.00000100000011</v>
      </c>
      <c r="C43" s="26">
        <f t="shared" ref="C43:G43" si="7">SUM(C39:C42)</f>
        <v>783.99999999999682</v>
      </c>
      <c r="D43" s="26">
        <f t="shared" si="7"/>
        <v>1199.9999999999329</v>
      </c>
      <c r="E43" s="26">
        <f t="shared" si="7"/>
        <v>353.99999999999358</v>
      </c>
      <c r="F43" s="26">
        <f t="shared" si="7"/>
        <v>517.5</v>
      </c>
      <c r="G43" s="26">
        <f t="shared" si="7"/>
        <v>840</v>
      </c>
      <c r="I43" s="21"/>
    </row>
    <row r="44" spans="1:10">
      <c r="A44" t="s">
        <v>36</v>
      </c>
      <c r="B44" s="28">
        <f>B15-B43</f>
        <v>-1.0000001680054993E-6</v>
      </c>
      <c r="C44" s="28">
        <f t="shared" ref="C44:G44" si="8">C15-C43</f>
        <v>3.2969182939268649E-12</v>
      </c>
      <c r="D44" s="28">
        <f t="shared" si="8"/>
        <v>6.7075234255753458E-11</v>
      </c>
      <c r="E44" s="28">
        <f t="shared" si="8"/>
        <v>6.4233063312713057E-12</v>
      </c>
      <c r="F44" s="28">
        <f t="shared" si="8"/>
        <v>0</v>
      </c>
      <c r="G44" s="28">
        <f t="shared" si="8"/>
        <v>0</v>
      </c>
    </row>
    <row r="47" spans="1:10">
      <c r="A47" s="48" t="s">
        <v>52</v>
      </c>
      <c r="B47" s="48"/>
    </row>
    <row r="48" spans="1:10">
      <c r="A48" s="22" t="s">
        <v>9</v>
      </c>
      <c r="B48" s="27">
        <f>(IF(I30&gt;0,1200000)+(IF(I31&gt;0,1500000)+(IF(I32&gt;0,1600000))))</f>
        <v>1600000</v>
      </c>
    </row>
    <row r="49" spans="1:5">
      <c r="A49" s="4" t="s">
        <v>14</v>
      </c>
      <c r="B49" s="15">
        <f>(IF(I29&gt;0,B6)+(IF(I30&gt;0,B7)+(IF(I31&gt;0,B8)+(IF(I32&gt;0,B9)))))</f>
        <v>440000</v>
      </c>
      <c r="D49" t="s">
        <v>28</v>
      </c>
    </row>
    <row r="50" spans="1:5">
      <c r="A50" s="4" t="s">
        <v>39</v>
      </c>
      <c r="B50" s="16">
        <f>360*(((SUM(B29:G29)*C6))+((SUM(B30:G30)*C7))+((SUM(B31:G31)*C8))+((SUM(B32:G32)*C9)))</f>
        <v>679950.00000382331</v>
      </c>
      <c r="D50" s="1"/>
      <c r="E50" t="s">
        <v>40</v>
      </c>
    </row>
    <row r="51" spans="1:5">
      <c r="A51" s="4" t="s">
        <v>41</v>
      </c>
      <c r="B51" s="15">
        <f>360*(((SUMPRODUCT(B29:G29,B21:G21)))+((SUMPRODUCT(B30:G30,B22:G22))+((SUMPRODUCT(B31:G31,B23:G23))+((SUMPRODUCT(B32:G32,B24:G24))))))</f>
        <v>386945.09999862505</v>
      </c>
      <c r="D51" s="13"/>
      <c r="E51" t="s">
        <v>13</v>
      </c>
    </row>
    <row r="52" spans="1:5">
      <c r="A52" s="4" t="s">
        <v>43</v>
      </c>
      <c r="B52" s="15">
        <f>SUM(B48:B51)</f>
        <v>3106895.1000024481</v>
      </c>
      <c r="D52" s="14"/>
      <c r="E52" t="s">
        <v>42</v>
      </c>
    </row>
    <row r="54" spans="1:5">
      <c r="A54" s="48" t="s">
        <v>53</v>
      </c>
      <c r="B54" s="48"/>
    </row>
    <row r="55" spans="1:5">
      <c r="A55" s="22" t="s">
        <v>9</v>
      </c>
      <c r="B55" s="27">
        <f>(IF(I40&gt;0,1200000)+(IF(I41&gt;0,1500000)+(IF(I42&gt;0,1600000))))</f>
        <v>4300000</v>
      </c>
    </row>
    <row r="56" spans="1:5">
      <c r="A56" s="4" t="s">
        <v>14</v>
      </c>
      <c r="B56" s="15">
        <f>+(IF(I39&gt;0,E6)+(IF(I40&gt;0,E7)+(IF(I41&gt;0,E8)+(IF(I42&gt;0,E9)))))</f>
        <v>1240000</v>
      </c>
    </row>
    <row r="57" spans="1:5">
      <c r="A57" s="4" t="s">
        <v>39</v>
      </c>
      <c r="B57" s="16">
        <f>360*(((SUM(B39:G39)*F6))+((SUM(B40:G40)*F7))+((SUM(B41:G41)*F8))+((SUM(B42:G42)*F9)))</f>
        <v>673191.00017998763</v>
      </c>
    </row>
    <row r="58" spans="1:5">
      <c r="A58" s="4" t="s">
        <v>41</v>
      </c>
      <c r="B58" s="15">
        <f>360*((SUMPRODUCT(B39:G39,B21:G21))+(SUMPRODUCT(B40:G40,B22:G22))+(SUMPRODUCT(B41:G41,B23:G23))+(SUMPRODUCT(B42:G42,B24:G24)))</f>
        <v>219894.03028979228</v>
      </c>
    </row>
    <row r="59" spans="1:5">
      <c r="A59" s="4" t="s">
        <v>43</v>
      </c>
      <c r="B59" s="15">
        <f>SUM(B55:B58)</f>
        <v>6433085.0304697799</v>
      </c>
    </row>
    <row r="61" spans="1:5">
      <c r="A61" s="48" t="s">
        <v>54</v>
      </c>
      <c r="B61" s="48"/>
    </row>
    <row r="62" spans="1:5">
      <c r="A62" s="22" t="s">
        <v>9</v>
      </c>
      <c r="B62" s="27">
        <f>B48+B55</f>
        <v>5900000</v>
      </c>
    </row>
    <row r="63" spans="1:5">
      <c r="A63" s="4" t="s">
        <v>14</v>
      </c>
      <c r="B63" s="27">
        <f t="shared" ref="B63:B66" si="9">B49+B56</f>
        <v>1680000</v>
      </c>
    </row>
    <row r="64" spans="1:5">
      <c r="A64" s="4" t="s">
        <v>39</v>
      </c>
      <c r="B64" s="27">
        <f t="shared" si="9"/>
        <v>1353141.0001838109</v>
      </c>
    </row>
    <row r="65" spans="1:2">
      <c r="A65" s="4" t="s">
        <v>41</v>
      </c>
      <c r="B65" s="27">
        <f t="shared" si="9"/>
        <v>606839.13028841733</v>
      </c>
    </row>
    <row r="66" spans="1:2">
      <c r="A66" s="4" t="s">
        <v>43</v>
      </c>
      <c r="B66" s="27">
        <f t="shared" si="9"/>
        <v>9539980.1304722279</v>
      </c>
    </row>
  </sheetData>
  <mergeCells count="10">
    <mergeCell ref="B37:H37"/>
    <mergeCell ref="A47:B47"/>
    <mergeCell ref="A54:B54"/>
    <mergeCell ref="A61:B61"/>
    <mergeCell ref="B3:G3"/>
    <mergeCell ref="B4:D4"/>
    <mergeCell ref="E4:G4"/>
    <mergeCell ref="B12:G12"/>
    <mergeCell ref="B19:G19"/>
    <mergeCell ref="B27:H27"/>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3:J64"/>
  <sheetViews>
    <sheetView topLeftCell="A20" workbookViewId="0">
      <selection activeCell="B32" activeCellId="1" sqref="B29:G29 B32:G32"/>
    </sheetView>
  </sheetViews>
  <sheetFormatPr defaultRowHeight="15"/>
  <cols>
    <col min="1" max="1" width="18.140625" customWidth="1"/>
    <col min="2" max="2" width="17.7109375" customWidth="1"/>
    <col min="3" max="7" width="12.7109375" customWidth="1"/>
    <col min="8" max="8" width="14.140625" customWidth="1"/>
    <col min="9" max="9" width="13.7109375" customWidth="1"/>
  </cols>
  <sheetData>
    <row r="3" spans="1:7">
      <c r="B3" s="42" t="s">
        <v>15</v>
      </c>
      <c r="C3" s="42"/>
      <c r="D3" s="42"/>
      <c r="E3" s="42"/>
      <c r="F3" s="42"/>
      <c r="G3" s="42"/>
    </row>
    <row r="4" spans="1:7">
      <c r="B4" s="43" t="s">
        <v>0</v>
      </c>
      <c r="C4" s="43"/>
      <c r="D4" s="43"/>
      <c r="E4" s="43" t="s">
        <v>1</v>
      </c>
      <c r="F4" s="43"/>
      <c r="G4" s="43"/>
    </row>
    <row r="5" spans="1:7" ht="30">
      <c r="A5" s="2" t="s">
        <v>16</v>
      </c>
      <c r="B5" s="3" t="s">
        <v>17</v>
      </c>
      <c r="C5" s="3" t="s">
        <v>18</v>
      </c>
      <c r="D5" s="3" t="s">
        <v>19</v>
      </c>
      <c r="E5" s="3" t="s">
        <v>17</v>
      </c>
      <c r="F5" s="3" t="s">
        <v>20</v>
      </c>
      <c r="G5" s="3" t="s">
        <v>19</v>
      </c>
    </row>
    <row r="6" spans="1:7">
      <c r="A6" s="4" t="s">
        <v>10</v>
      </c>
      <c r="B6" s="5">
        <v>200000</v>
      </c>
      <c r="C6" s="5">
        <v>0.3</v>
      </c>
      <c r="D6" s="6">
        <v>6000</v>
      </c>
      <c r="E6" s="5">
        <v>300000</v>
      </c>
      <c r="F6" s="5">
        <v>0.5</v>
      </c>
      <c r="G6" s="6">
        <v>4000</v>
      </c>
    </row>
    <row r="7" spans="1:7">
      <c r="A7" s="4" t="s">
        <v>6</v>
      </c>
      <c r="B7" s="5">
        <v>220000</v>
      </c>
      <c r="C7" s="5">
        <v>0.25</v>
      </c>
      <c r="D7" s="6">
        <v>6000</v>
      </c>
      <c r="E7" s="5">
        <v>300000</v>
      </c>
      <c r="F7" s="5">
        <v>0.45</v>
      </c>
      <c r="G7" s="6">
        <v>4500</v>
      </c>
    </row>
    <row r="8" spans="1:7">
      <c r="A8" s="4" t="s">
        <v>7</v>
      </c>
      <c r="B8" s="5">
        <v>240000</v>
      </c>
      <c r="C8" s="5">
        <v>0.25</v>
      </c>
      <c r="D8" s="6">
        <v>7000</v>
      </c>
      <c r="E8" s="5">
        <v>320000</v>
      </c>
      <c r="F8" s="5">
        <v>0.45</v>
      </c>
      <c r="G8" s="6">
        <v>5200</v>
      </c>
    </row>
    <row r="9" spans="1:7">
      <c r="A9" s="4" t="s">
        <v>8</v>
      </c>
      <c r="B9" s="5">
        <v>240000</v>
      </c>
      <c r="C9" s="5">
        <v>0.25</v>
      </c>
      <c r="D9" s="6">
        <v>7500</v>
      </c>
      <c r="E9" s="5">
        <v>320000</v>
      </c>
      <c r="F9" s="5">
        <v>0.45</v>
      </c>
      <c r="G9" s="6">
        <v>5500</v>
      </c>
    </row>
    <row r="12" spans="1:7">
      <c r="B12" s="42" t="s">
        <v>21</v>
      </c>
      <c r="C12" s="42"/>
      <c r="D12" s="42"/>
      <c r="E12" s="42"/>
      <c r="F12" s="42"/>
      <c r="G12" s="42"/>
    </row>
    <row r="13" spans="1:7" ht="30">
      <c r="A13" s="2" t="s">
        <v>22</v>
      </c>
      <c r="B13" s="3" t="s">
        <v>23</v>
      </c>
      <c r="C13" s="3" t="s">
        <v>2</v>
      </c>
      <c r="D13" s="3" t="s">
        <v>3</v>
      </c>
      <c r="E13" s="3" t="s">
        <v>4</v>
      </c>
      <c r="F13" s="3" t="s">
        <v>24</v>
      </c>
      <c r="G13" s="3" t="s">
        <v>5</v>
      </c>
    </row>
    <row r="14" spans="1:7">
      <c r="A14" s="4" t="s">
        <v>0</v>
      </c>
      <c r="B14" s="30">
        <f>'Scenario A (Y1)'!B14*1.15</f>
        <v>925.74999999999977</v>
      </c>
      <c r="C14" s="30">
        <f>'Scenario A (Y1)'!C14*1.12</f>
        <v>1254.4000000000001</v>
      </c>
      <c r="D14" s="30">
        <f>'Scenario A (Y1)'!D14*1.2</f>
        <v>2160</v>
      </c>
      <c r="E14" s="30">
        <f>'Scenario A (Y1)'!E14*1.18</f>
        <v>696.19999999999993</v>
      </c>
      <c r="F14" s="30">
        <f>'Scenario A (Y1)'!F14*1.15</f>
        <v>1057.9999999999998</v>
      </c>
      <c r="G14" s="30">
        <f>'Scenario A (Y1)'!G14*1.12</f>
        <v>1254.4000000000001</v>
      </c>
    </row>
    <row r="15" spans="1:7">
      <c r="A15" s="4" t="s">
        <v>1</v>
      </c>
      <c r="B15" s="30">
        <f>'Scenario A (Y1)'!B15*1.15</f>
        <v>528.99999999999989</v>
      </c>
      <c r="C15" s="30">
        <f>'Scenario A (Y1)'!C15*1.12</f>
        <v>878.08000000000015</v>
      </c>
      <c r="D15" s="30">
        <f>'Scenario A (Y1)'!D15*1.2</f>
        <v>1440</v>
      </c>
      <c r="E15" s="30">
        <f>'Scenario A (Y1)'!E15*1.18</f>
        <v>417.71999999999997</v>
      </c>
      <c r="F15" s="30">
        <f>'Scenario A (Y1)'!F15*1.15</f>
        <v>595.125</v>
      </c>
      <c r="G15" s="30">
        <f>'Scenario A (Y1)'!G15*1.12</f>
        <v>940.80000000000018</v>
      </c>
    </row>
    <row r="16" spans="1:7">
      <c r="A16" s="4" t="s">
        <v>44</v>
      </c>
      <c r="B16" s="30">
        <f>SUM(B14:B15)</f>
        <v>1454.7499999999995</v>
      </c>
      <c r="C16" s="30">
        <f t="shared" ref="C16:G16" si="0">SUM(C14:C15)</f>
        <v>2132.4800000000005</v>
      </c>
      <c r="D16" s="30">
        <f t="shared" si="0"/>
        <v>3600</v>
      </c>
      <c r="E16" s="30">
        <f t="shared" si="0"/>
        <v>1113.9199999999998</v>
      </c>
      <c r="F16" s="30">
        <f t="shared" si="0"/>
        <v>1653.1249999999998</v>
      </c>
      <c r="G16" s="30">
        <f t="shared" si="0"/>
        <v>2195.2000000000003</v>
      </c>
    </row>
    <row r="19" spans="1:10">
      <c r="B19" s="44" t="s">
        <v>26</v>
      </c>
      <c r="C19" s="44"/>
      <c r="D19" s="44"/>
      <c r="E19" s="44"/>
      <c r="F19" s="44"/>
      <c r="G19" s="44"/>
    </row>
    <row r="20" spans="1:10" ht="31.5" customHeight="1">
      <c r="A20" s="8" t="s">
        <v>27</v>
      </c>
      <c r="B20" s="3" t="s">
        <v>23</v>
      </c>
      <c r="C20" s="3" t="s">
        <v>2</v>
      </c>
      <c r="D20" s="3" t="s">
        <v>3</v>
      </c>
      <c r="E20" s="3" t="s">
        <v>4</v>
      </c>
      <c r="F20" s="3" t="s">
        <v>24</v>
      </c>
      <c r="G20" s="3" t="s">
        <v>5</v>
      </c>
    </row>
    <row r="21" spans="1:10">
      <c r="A21" s="4" t="s">
        <v>10</v>
      </c>
      <c r="B21" s="5">
        <f>'Scenario A (Y1)'!B21*(1+15%)</f>
        <v>0.13224999999999998</v>
      </c>
      <c r="C21" s="5">
        <f>'Scenario A (Y1)'!C21*(1+15%)</f>
        <v>0.15869999999999998</v>
      </c>
      <c r="D21" s="5">
        <f>'Scenario A (Y1)'!D21*(1+15%)</f>
        <v>0.14547499999999999</v>
      </c>
      <c r="E21" s="5">
        <f>'Scenario A (Y1)'!E21*(1+15%)</f>
        <v>0.26449999999999996</v>
      </c>
      <c r="F21" s="5">
        <f>'Scenario A (Y1)'!F21*(1+15%)</f>
        <v>0.29094999999999999</v>
      </c>
      <c r="G21" s="5">
        <f>'Scenario A (Y1)'!G21*(1+15%)</f>
        <v>0.31739999999999996</v>
      </c>
    </row>
    <row r="22" spans="1:10">
      <c r="A22" s="4" t="s">
        <v>6</v>
      </c>
      <c r="B22" s="5">
        <f>'Scenario A (Y1)'!B22*(1+15%)</f>
        <v>0.13224999999999998</v>
      </c>
      <c r="C22" s="5">
        <f>'Scenario A (Y1)'!C22*(1+15%)</f>
        <v>0.15869999999999998</v>
      </c>
      <c r="D22" s="5">
        <f>'Scenario A (Y1)'!D22*(1+15%)</f>
        <v>5.2899999999999996E-2</v>
      </c>
      <c r="E22" s="5">
        <f>'Scenario A (Y1)'!E22*(1+15%)</f>
        <v>0.15869999999999998</v>
      </c>
      <c r="F22" s="5">
        <f>'Scenario A (Y1)'!F22*(1+15%)</f>
        <v>0.19837499999999997</v>
      </c>
      <c r="G22" s="5">
        <f>'Scenario A (Y1)'!G22*(1+15%)</f>
        <v>0.224825</v>
      </c>
    </row>
    <row r="23" spans="1:10">
      <c r="A23" s="4" t="s">
        <v>7</v>
      </c>
      <c r="B23" s="5">
        <f>'Scenario A (Y1)'!B23*(1+15%)</f>
        <v>0.23804999999999996</v>
      </c>
      <c r="C23" s="5">
        <f>'Scenario A (Y1)'!C23*(1+15%)</f>
        <v>0.21159999999999998</v>
      </c>
      <c r="D23" s="5">
        <f>'Scenario A (Y1)'!D23*(1+15%)</f>
        <v>6.6124999999999989E-2</v>
      </c>
      <c r="E23" s="5">
        <f>'Scenario A (Y1)'!E23*(1+15%)</f>
        <v>5.2899999999999996E-2</v>
      </c>
      <c r="F23" s="5">
        <f>'Scenario A (Y1)'!F23*(1+15%)</f>
        <v>0.13224999999999998</v>
      </c>
      <c r="G23" s="5">
        <f>'Scenario A (Y1)'!G23*(1+15%)</f>
        <v>0.14547499999999999</v>
      </c>
      <c r="I23" t="s">
        <v>28</v>
      </c>
    </row>
    <row r="24" spans="1:10">
      <c r="A24" s="4" t="s">
        <v>8</v>
      </c>
      <c r="B24" s="5">
        <f>'Scenario A (Y1)'!B24*(1+15%)</f>
        <v>0.29094999999999999</v>
      </c>
      <c r="C24" s="5">
        <f>'Scenario A (Y1)'!C24*(1+15%)</f>
        <v>0.31739999999999996</v>
      </c>
      <c r="D24" s="5">
        <f>'Scenario A (Y1)'!D24*(1+15%)</f>
        <v>0.13224999999999998</v>
      </c>
      <c r="E24" s="5">
        <f>'Scenario A (Y1)'!E24*(1+15%)</f>
        <v>0.17192499999999997</v>
      </c>
      <c r="F24" s="5">
        <f>'Scenario A (Y1)'!F24*(1+15%)</f>
        <v>5.2899999999999996E-2</v>
      </c>
      <c r="G24" s="5">
        <f>'Scenario A (Y1)'!G24*(1+15%)</f>
        <v>6.6124999999999989E-2</v>
      </c>
      <c r="I24" s="9"/>
      <c r="J24" t="s">
        <v>29</v>
      </c>
    </row>
    <row r="27" spans="1:10">
      <c r="B27" s="41" t="s">
        <v>30</v>
      </c>
      <c r="C27" s="41"/>
      <c r="D27" s="41"/>
      <c r="E27" s="41"/>
      <c r="F27" s="41"/>
      <c r="G27" s="41"/>
      <c r="H27" s="41"/>
    </row>
    <row r="28" spans="1:10" ht="30">
      <c r="A28" s="8" t="s">
        <v>31</v>
      </c>
      <c r="B28" s="3" t="s">
        <v>23</v>
      </c>
      <c r="C28" s="3" t="s">
        <v>2</v>
      </c>
      <c r="D28" s="3" t="s">
        <v>3</v>
      </c>
      <c r="E28" s="3" t="s">
        <v>4</v>
      </c>
      <c r="F28" s="3" t="s">
        <v>24</v>
      </c>
      <c r="G28" s="3" t="s">
        <v>5</v>
      </c>
      <c r="H28" s="10" t="s">
        <v>32</v>
      </c>
      <c r="I28" s="10" t="s">
        <v>33</v>
      </c>
      <c r="J28" s="10" t="s">
        <v>34</v>
      </c>
    </row>
    <row r="29" spans="1:10">
      <c r="A29" s="4" t="s">
        <v>10</v>
      </c>
      <c r="B29" s="24">
        <v>0</v>
      </c>
      <c r="C29" s="24">
        <v>0</v>
      </c>
      <c r="D29" s="24">
        <v>2159.9999999999995</v>
      </c>
      <c r="E29" s="24">
        <v>696.19999999999993</v>
      </c>
      <c r="F29" s="24">
        <v>1057.9999999999998</v>
      </c>
      <c r="G29" s="24">
        <v>1254.4000000000003</v>
      </c>
      <c r="H29" s="24">
        <f>IF(I29&gt;0,1,0)</f>
        <v>1</v>
      </c>
      <c r="I29" s="25">
        <f>SUM(B29:G29)</f>
        <v>5168.5999999999995</v>
      </c>
      <c r="J29" s="28">
        <f>6000-I29</f>
        <v>831.40000000000055</v>
      </c>
    </row>
    <row r="30" spans="1:10">
      <c r="A30" s="4" t="s">
        <v>6</v>
      </c>
      <c r="B30" s="24">
        <v>0</v>
      </c>
      <c r="C30" s="24">
        <v>0</v>
      </c>
      <c r="D30" s="24">
        <v>0</v>
      </c>
      <c r="E30" s="24">
        <v>0</v>
      </c>
      <c r="F30" s="24">
        <v>0</v>
      </c>
      <c r="G30" s="24">
        <v>0</v>
      </c>
      <c r="H30" s="24">
        <f t="shared" ref="H30:H32" si="1">IF(I30&gt;0,1,0)</f>
        <v>0</v>
      </c>
      <c r="I30" s="25">
        <f>SUM(B30:G30)</f>
        <v>0</v>
      </c>
      <c r="J30" s="28">
        <f>6000-I30</f>
        <v>6000</v>
      </c>
    </row>
    <row r="31" spans="1:10">
      <c r="A31" s="4" t="s">
        <v>7</v>
      </c>
      <c r="B31" s="24">
        <v>0</v>
      </c>
      <c r="C31" s="24">
        <v>0</v>
      </c>
      <c r="D31" s="24">
        <v>0</v>
      </c>
      <c r="E31" s="24">
        <v>0</v>
      </c>
      <c r="F31" s="24">
        <v>0</v>
      </c>
      <c r="G31" s="24">
        <v>0</v>
      </c>
      <c r="H31" s="24">
        <f t="shared" si="1"/>
        <v>0</v>
      </c>
      <c r="I31" s="25">
        <f t="shared" ref="I31:I32" si="2">SUM(B31:G31)</f>
        <v>0</v>
      </c>
      <c r="J31" s="28">
        <f>7000-I31</f>
        <v>7000</v>
      </c>
    </row>
    <row r="32" spans="1:10">
      <c r="A32" s="4" t="s">
        <v>8</v>
      </c>
      <c r="B32" s="24">
        <v>925.75000000000023</v>
      </c>
      <c r="C32" s="24">
        <v>1254.4000000000008</v>
      </c>
      <c r="D32" s="24">
        <v>0</v>
      </c>
      <c r="E32" s="24">
        <v>0</v>
      </c>
      <c r="F32" s="24">
        <v>0</v>
      </c>
      <c r="G32" s="24">
        <v>0</v>
      </c>
      <c r="H32" s="24">
        <f t="shared" si="1"/>
        <v>1</v>
      </c>
      <c r="I32" s="25">
        <f t="shared" si="2"/>
        <v>2180.150000000001</v>
      </c>
      <c r="J32" s="28">
        <f>7500-I32</f>
        <v>5319.8499999999985</v>
      </c>
    </row>
    <row r="33" spans="1:10">
      <c r="A33" s="4" t="s">
        <v>35</v>
      </c>
      <c r="B33" s="25">
        <f>SUM(B29:B32)</f>
        <v>925.75000000000023</v>
      </c>
      <c r="C33" s="25">
        <f t="shared" ref="C33:G33" si="3">SUM(C29:C32)</f>
        <v>1254.4000000000008</v>
      </c>
      <c r="D33" s="25">
        <f t="shared" si="3"/>
        <v>2159.9999999999995</v>
      </c>
      <c r="E33" s="25">
        <f t="shared" si="3"/>
        <v>696.19999999999993</v>
      </c>
      <c r="F33" s="25">
        <f t="shared" si="3"/>
        <v>1057.9999999999998</v>
      </c>
      <c r="G33" s="25">
        <f t="shared" si="3"/>
        <v>1254.4000000000003</v>
      </c>
    </row>
    <row r="34" spans="1:10">
      <c r="A34" s="4" t="s">
        <v>36</v>
      </c>
      <c r="B34" s="28">
        <f>B14-B33</f>
        <v>0</v>
      </c>
      <c r="C34" s="28">
        <f t="shared" ref="C34:G34" si="4">C14-C33</f>
        <v>0</v>
      </c>
      <c r="D34" s="28">
        <f t="shared" si="4"/>
        <v>0</v>
      </c>
      <c r="E34" s="28">
        <f t="shared" si="4"/>
        <v>0</v>
      </c>
      <c r="F34" s="28">
        <f t="shared" si="4"/>
        <v>0</v>
      </c>
      <c r="G34" s="28">
        <f t="shared" si="4"/>
        <v>0</v>
      </c>
    </row>
    <row r="37" spans="1:10">
      <c r="B37" s="41" t="s">
        <v>37</v>
      </c>
      <c r="C37" s="41"/>
      <c r="D37" s="41"/>
      <c r="E37" s="41"/>
      <c r="F37" s="41"/>
      <c r="G37" s="41"/>
      <c r="H37" s="41"/>
    </row>
    <row r="38" spans="1:10" ht="30">
      <c r="A38" s="12" t="s">
        <v>31</v>
      </c>
      <c r="B38" s="3" t="s">
        <v>23</v>
      </c>
      <c r="C38" s="3" t="s">
        <v>2</v>
      </c>
      <c r="D38" s="3" t="s">
        <v>3</v>
      </c>
      <c r="E38" s="3" t="s">
        <v>4</v>
      </c>
      <c r="F38" s="3" t="s">
        <v>24</v>
      </c>
      <c r="G38" s="3" t="s">
        <v>5</v>
      </c>
      <c r="H38" s="10" t="s">
        <v>32</v>
      </c>
      <c r="I38" s="10" t="s">
        <v>33</v>
      </c>
      <c r="J38" s="10" t="s">
        <v>34</v>
      </c>
    </row>
    <row r="39" spans="1:10">
      <c r="A39" t="s">
        <v>10</v>
      </c>
      <c r="B39" s="24">
        <v>0</v>
      </c>
      <c r="C39" s="24">
        <v>-9.9999999747524271E-7</v>
      </c>
      <c r="D39" s="24">
        <v>0</v>
      </c>
      <c r="E39" s="24">
        <v>4.000001524428059E-6</v>
      </c>
      <c r="F39" s="24">
        <v>-9.9999999925159955E-7</v>
      </c>
      <c r="G39" s="24">
        <v>-9.9999999747524271E-7</v>
      </c>
      <c r="H39" s="18">
        <v>0</v>
      </c>
      <c r="I39" s="25">
        <f>SUM(B39:G39)</f>
        <v>1.000001530225974E-6</v>
      </c>
      <c r="J39" s="19">
        <f>4000-I39</f>
        <v>3999.9999989999983</v>
      </c>
    </row>
    <row r="40" spans="1:10">
      <c r="A40" t="s">
        <v>6</v>
      </c>
      <c r="B40" s="24">
        <v>34.500002798007451</v>
      </c>
      <c r="C40" s="24">
        <v>47.039993802990367</v>
      </c>
      <c r="D40" s="24">
        <v>120.00001329305978</v>
      </c>
      <c r="E40" s="24">
        <v>385.85999270198766</v>
      </c>
      <c r="F40" s="24">
        <v>556.31250719701131</v>
      </c>
      <c r="G40" s="24">
        <v>890.40000619701141</v>
      </c>
      <c r="H40" s="18">
        <v>1</v>
      </c>
      <c r="I40" s="25">
        <f t="shared" ref="I40:I42" si="5">SUM(B40:G40)</f>
        <v>2034.112515990068</v>
      </c>
      <c r="J40" s="28">
        <f>4500-I40</f>
        <v>2465.887484009932</v>
      </c>
    </row>
    <row r="41" spans="1:10">
      <c r="A41" t="s">
        <v>7</v>
      </c>
      <c r="B41" s="24">
        <v>494.49999820163566</v>
      </c>
      <c r="C41" s="24">
        <v>831.04000419736485</v>
      </c>
      <c r="D41" s="24">
        <v>1319.99998670694</v>
      </c>
      <c r="E41" s="24">
        <v>31.860004298010757</v>
      </c>
      <c r="F41" s="24">
        <v>38.812494802988631</v>
      </c>
      <c r="G41" s="24">
        <v>50.3999948029888</v>
      </c>
      <c r="H41" s="18">
        <v>1</v>
      </c>
      <c r="I41" s="25">
        <f t="shared" si="5"/>
        <v>2766.6124830099284</v>
      </c>
      <c r="J41" s="28">
        <f>5200-I41</f>
        <v>2433.3875169900716</v>
      </c>
    </row>
    <row r="42" spans="1:10">
      <c r="A42" t="s">
        <v>8</v>
      </c>
      <c r="B42" s="24">
        <v>-9.9964323402200385E-7</v>
      </c>
      <c r="C42" s="24">
        <v>2.9996449187239232E-6</v>
      </c>
      <c r="D42" s="24">
        <v>0</v>
      </c>
      <c r="E42" s="24">
        <v>-9.999999999999972E-7</v>
      </c>
      <c r="F42" s="24">
        <v>-9.999999999999972E-7</v>
      </c>
      <c r="G42" s="24">
        <v>0</v>
      </c>
      <c r="H42" s="18">
        <v>0</v>
      </c>
      <c r="I42" s="25">
        <f t="shared" si="5"/>
        <v>1.6847019249479137E-12</v>
      </c>
      <c r="J42" s="28">
        <f>5500-I42</f>
        <v>5499.9999999999982</v>
      </c>
    </row>
    <row r="43" spans="1:10">
      <c r="A43" t="s">
        <v>35</v>
      </c>
      <c r="B43" s="26">
        <f>SUM(B39:B42)</f>
        <v>528.99999999999989</v>
      </c>
      <c r="C43" s="26">
        <f t="shared" ref="C43:G43" si="6">SUM(C39:C42)</f>
        <v>878.08000000000015</v>
      </c>
      <c r="D43" s="26">
        <f t="shared" si="6"/>
        <v>1439.9999999999998</v>
      </c>
      <c r="E43" s="26">
        <f t="shared" si="6"/>
        <v>417.71999999999997</v>
      </c>
      <c r="F43" s="26">
        <f t="shared" si="6"/>
        <v>595.125</v>
      </c>
      <c r="G43" s="26">
        <f t="shared" si="6"/>
        <v>940.80000000000018</v>
      </c>
      <c r="I43" s="21"/>
    </row>
    <row r="44" spans="1:10">
      <c r="A44" t="s">
        <v>36</v>
      </c>
      <c r="B44" s="28">
        <f>B15-B43</f>
        <v>0</v>
      </c>
      <c r="C44" s="28">
        <f t="shared" ref="C44:G44" si="7">C15-C43</f>
        <v>0</v>
      </c>
      <c r="D44" s="28">
        <f t="shared" si="7"/>
        <v>0</v>
      </c>
      <c r="E44" s="28">
        <f t="shared" si="7"/>
        <v>0</v>
      </c>
      <c r="F44" s="28">
        <f t="shared" si="7"/>
        <v>0</v>
      </c>
      <c r="G44" s="28">
        <f t="shared" si="7"/>
        <v>0</v>
      </c>
    </row>
    <row r="47" spans="1:10">
      <c r="A47" s="48" t="s">
        <v>52</v>
      </c>
      <c r="B47" s="48"/>
    </row>
    <row r="48" spans="1:10">
      <c r="A48" s="22" t="s">
        <v>9</v>
      </c>
      <c r="B48" s="27">
        <f>(IF(I30&gt;0,1200000)+(IF(I31&gt;0,1500000)+(IF(I32&gt;0,1600000))))</f>
        <v>1600000</v>
      </c>
    </row>
    <row r="49" spans="1:5">
      <c r="A49" s="4" t="s">
        <v>14</v>
      </c>
      <c r="B49" s="15">
        <f>(IF(I29&gt;0,B6)+(IF(I30&gt;0,B7)+(IF(I31&gt;0,B8)+(IF(I32&gt;0,B9)))))</f>
        <v>440000</v>
      </c>
      <c r="D49" t="s">
        <v>28</v>
      </c>
    </row>
    <row r="50" spans="1:5">
      <c r="A50" s="4" t="s">
        <v>39</v>
      </c>
      <c r="B50" s="16">
        <f>360*(((SUM(B29:G29)*C6))+((SUM(B30:G30)*C7))+((SUM(B31:G31)*C8))+((SUM(B32:G32)*C9)))</f>
        <v>754422.29999999993</v>
      </c>
      <c r="D50" s="1"/>
      <c r="E50" t="s">
        <v>40</v>
      </c>
    </row>
    <row r="51" spans="1:5">
      <c r="A51" s="4" t="s">
        <v>41</v>
      </c>
      <c r="B51" s="15">
        <f>360*(((SUMPRODUCT(B29:G29,B21:G21)))+((SUMPRODUCT(B30:G30,B22:G22))+((SUMPRODUCT(B31:G31,B23:G23))+((SUMPRODUCT(B32:G32,B24:G24))))))</f>
        <v>673860.98970000003</v>
      </c>
      <c r="D51" s="13"/>
      <c r="E51" t="s">
        <v>13</v>
      </c>
    </row>
    <row r="52" spans="1:5">
      <c r="A52" s="4" t="s">
        <v>43</v>
      </c>
      <c r="B52" s="15">
        <f>SUM(B48:B51)</f>
        <v>3468283.2896999996</v>
      </c>
      <c r="D52" s="14"/>
      <c r="E52" t="s">
        <v>42</v>
      </c>
    </row>
    <row r="54" spans="1:5">
      <c r="A54" s="48" t="s">
        <v>53</v>
      </c>
      <c r="B54" s="48"/>
    </row>
    <row r="55" spans="1:5">
      <c r="A55" s="4" t="s">
        <v>14</v>
      </c>
      <c r="B55" s="15">
        <f>+(IF(I39&gt;0,E6)+(IF(I40&gt;0,E7)+(IF(I41&gt;0,E8)+(IF(I42&gt;0,E9)))))</f>
        <v>1240000</v>
      </c>
    </row>
    <row r="56" spans="1:5">
      <c r="A56" s="4" t="s">
        <v>39</v>
      </c>
      <c r="B56" s="16">
        <f>360*(((SUM(B39:G39)*F6))+((SUM(B40:G40)*F7))+((SUM(B41:G41)*F8))+((SUM(B42:G42)*F9)))</f>
        <v>777717.45001799997</v>
      </c>
    </row>
    <row r="57" spans="1:5">
      <c r="A57" s="4" t="s">
        <v>41</v>
      </c>
      <c r="B57" s="15">
        <f>360*((SUMPRODUCT(B39:G39,B21:G21))+(SUMPRODUCT(B40:G40,B22:G22))+(SUMPRODUCT(B41:G41,B23:G23))+(SUMPRODUCT(B42:G42,B24:G24)))</f>
        <v>282655.29749669245</v>
      </c>
    </row>
    <row r="58" spans="1:5">
      <c r="A58" s="4" t="s">
        <v>43</v>
      </c>
      <c r="B58" s="15">
        <f>SUM(B55:B57)</f>
        <v>2300372.7475146921</v>
      </c>
    </row>
    <row r="60" spans="1:5">
      <c r="A60" s="48" t="s">
        <v>54</v>
      </c>
      <c r="B60" s="48"/>
    </row>
    <row r="61" spans="1:5">
      <c r="A61" s="4" t="s">
        <v>14</v>
      </c>
      <c r="B61" s="27">
        <f>B49+B55</f>
        <v>1680000</v>
      </c>
    </row>
    <row r="62" spans="1:5">
      <c r="A62" s="4" t="s">
        <v>39</v>
      </c>
      <c r="B62" s="27">
        <f>B50+B56</f>
        <v>1532139.7500179999</v>
      </c>
    </row>
    <row r="63" spans="1:5">
      <c r="A63" s="4" t="s">
        <v>41</v>
      </c>
      <c r="B63" s="27">
        <f>B51+B57</f>
        <v>956516.28719669254</v>
      </c>
    </row>
    <row r="64" spans="1:5">
      <c r="A64" s="4" t="s">
        <v>43</v>
      </c>
      <c r="B64" s="27">
        <f>B52+B58</f>
        <v>5768656.0372146918</v>
      </c>
    </row>
  </sheetData>
  <mergeCells count="10">
    <mergeCell ref="B37:H37"/>
    <mergeCell ref="A47:B47"/>
    <mergeCell ref="A54:B54"/>
    <mergeCell ref="A60:B60"/>
    <mergeCell ref="B3:G3"/>
    <mergeCell ref="B4:D4"/>
    <mergeCell ref="E4:G4"/>
    <mergeCell ref="B12:G12"/>
    <mergeCell ref="B19:G19"/>
    <mergeCell ref="B27:H27"/>
  </mergeCell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3:J64"/>
  <sheetViews>
    <sheetView topLeftCell="A28" workbookViewId="0">
      <selection activeCell="B32" activeCellId="1" sqref="B29:G29 B32:G32"/>
    </sheetView>
  </sheetViews>
  <sheetFormatPr defaultRowHeight="15"/>
  <cols>
    <col min="1" max="1" width="18.140625" customWidth="1"/>
    <col min="2" max="2" width="17.7109375" customWidth="1"/>
    <col min="3" max="7" width="12.7109375" customWidth="1"/>
    <col min="8" max="8" width="14.140625" customWidth="1"/>
    <col min="9" max="9" width="13.7109375" customWidth="1"/>
    <col min="10" max="10" width="10.28515625" bestFit="1" customWidth="1"/>
  </cols>
  <sheetData>
    <row r="3" spans="1:7">
      <c r="B3" s="42" t="s">
        <v>15</v>
      </c>
      <c r="C3" s="42"/>
      <c r="D3" s="42"/>
      <c r="E3" s="42"/>
      <c r="F3" s="42"/>
      <c r="G3" s="42"/>
    </row>
    <row r="4" spans="1:7">
      <c r="B4" s="43" t="s">
        <v>0</v>
      </c>
      <c r="C4" s="43"/>
      <c r="D4" s="43"/>
      <c r="E4" s="43" t="s">
        <v>1</v>
      </c>
      <c r="F4" s="43"/>
      <c r="G4" s="43"/>
    </row>
    <row r="5" spans="1:7" ht="30">
      <c r="A5" s="2" t="s">
        <v>16</v>
      </c>
      <c r="B5" s="3" t="s">
        <v>17</v>
      </c>
      <c r="C5" s="3" t="s">
        <v>18</v>
      </c>
      <c r="D5" s="3" t="s">
        <v>19</v>
      </c>
      <c r="E5" s="3" t="s">
        <v>17</v>
      </c>
      <c r="F5" s="3" t="s">
        <v>20</v>
      </c>
      <c r="G5" s="3" t="s">
        <v>19</v>
      </c>
    </row>
    <row r="6" spans="1:7">
      <c r="A6" s="4" t="s">
        <v>10</v>
      </c>
      <c r="B6" s="5">
        <v>200000</v>
      </c>
      <c r="C6" s="5">
        <v>0.3</v>
      </c>
      <c r="D6" s="6">
        <v>6000</v>
      </c>
      <c r="E6" s="5">
        <v>300000</v>
      </c>
      <c r="F6" s="5">
        <v>0.5</v>
      </c>
      <c r="G6" s="6">
        <v>4000</v>
      </c>
    </row>
    <row r="7" spans="1:7">
      <c r="A7" s="4" t="s">
        <v>6</v>
      </c>
      <c r="B7" s="5">
        <v>220000</v>
      </c>
      <c r="C7" s="5">
        <v>0.25</v>
      </c>
      <c r="D7" s="6">
        <v>6000</v>
      </c>
      <c r="E7" s="5">
        <v>300000</v>
      </c>
      <c r="F7" s="5">
        <v>0.45</v>
      </c>
      <c r="G7" s="6">
        <v>4500</v>
      </c>
    </row>
    <row r="8" spans="1:7">
      <c r="A8" s="4" t="s">
        <v>7</v>
      </c>
      <c r="B8" s="5">
        <v>240000</v>
      </c>
      <c r="C8" s="5">
        <v>0.25</v>
      </c>
      <c r="D8" s="6">
        <v>7000</v>
      </c>
      <c r="E8" s="5">
        <v>320000</v>
      </c>
      <c r="F8" s="5">
        <v>0.45</v>
      </c>
      <c r="G8" s="6">
        <v>5200</v>
      </c>
    </row>
    <row r="9" spans="1:7">
      <c r="A9" s="4" t="s">
        <v>8</v>
      </c>
      <c r="B9" s="5">
        <v>240000</v>
      </c>
      <c r="C9" s="5">
        <v>0.25</v>
      </c>
      <c r="D9" s="6">
        <v>7500</v>
      </c>
      <c r="E9" s="5">
        <v>320000</v>
      </c>
      <c r="F9" s="5">
        <v>0.45</v>
      </c>
      <c r="G9" s="6">
        <v>5500</v>
      </c>
    </row>
    <row r="12" spans="1:7">
      <c r="B12" s="42" t="s">
        <v>21</v>
      </c>
      <c r="C12" s="42"/>
      <c r="D12" s="42"/>
      <c r="E12" s="42"/>
      <c r="F12" s="42"/>
      <c r="G12" s="42"/>
    </row>
    <row r="13" spans="1:7" ht="30">
      <c r="A13" s="2" t="s">
        <v>22</v>
      </c>
      <c r="B13" s="3" t="s">
        <v>23</v>
      </c>
      <c r="C13" s="3" t="s">
        <v>2</v>
      </c>
      <c r="D13" s="3" t="s">
        <v>3</v>
      </c>
      <c r="E13" s="3" t="s">
        <v>4</v>
      </c>
      <c r="F13" s="3" t="s">
        <v>24</v>
      </c>
      <c r="G13" s="3" t="s">
        <v>5</v>
      </c>
    </row>
    <row r="14" spans="1:7">
      <c r="A14" s="4" t="s">
        <v>0</v>
      </c>
      <c r="B14" s="30">
        <f>'Scenario A (Y2)'!B14*1.15</f>
        <v>1064.6124999999997</v>
      </c>
      <c r="C14" s="30">
        <f>'Scenario A (Y2)'!C14*1.15</f>
        <v>1442.56</v>
      </c>
      <c r="D14" s="30">
        <f>'Scenario A (Y2)'!D14*1.15</f>
        <v>2484</v>
      </c>
      <c r="E14" s="30">
        <f>'Scenario A (Y2)'!E14*1.15</f>
        <v>800.62999999999988</v>
      </c>
      <c r="F14" s="30">
        <f>'Scenario A (Y2)'!F14*1.15</f>
        <v>1216.6999999999996</v>
      </c>
      <c r="G14" s="30">
        <f>'Scenario A (Y2)'!G14*1.15</f>
        <v>1442.56</v>
      </c>
    </row>
    <row r="15" spans="1:7">
      <c r="A15" s="4" t="s">
        <v>1</v>
      </c>
      <c r="B15" s="30">
        <f>'Scenario A (Y2)'!B15*1.15</f>
        <v>608.3499999999998</v>
      </c>
      <c r="C15" s="30">
        <f>'Scenario A (Y2)'!C15*1.15</f>
        <v>1009.7920000000001</v>
      </c>
      <c r="D15" s="30">
        <f>'Scenario A (Y2)'!D15*1.15</f>
        <v>1655.9999999999998</v>
      </c>
      <c r="E15" s="30">
        <f>'Scenario A (Y2)'!E15*1.15</f>
        <v>480.37799999999993</v>
      </c>
      <c r="F15" s="30">
        <f>'Scenario A (Y2)'!F15*1.15</f>
        <v>684.39374999999995</v>
      </c>
      <c r="G15" s="30">
        <f>'Scenario A (Y2)'!G15*1.15</f>
        <v>1081.92</v>
      </c>
    </row>
    <row r="16" spans="1:7">
      <c r="A16" s="4" t="s">
        <v>44</v>
      </c>
      <c r="B16" s="30">
        <f>'Scenario A (Y2)'!B16*1.15</f>
        <v>1672.9624999999994</v>
      </c>
      <c r="C16" s="30">
        <f>'Scenario A (Y2)'!C16*1.15</f>
        <v>2452.3520000000003</v>
      </c>
      <c r="D16" s="30">
        <f>'Scenario A (Y2)'!D16*1.15</f>
        <v>4140</v>
      </c>
      <c r="E16" s="30">
        <f>'Scenario A (Y2)'!E16*1.15</f>
        <v>1281.0079999999998</v>
      </c>
      <c r="F16" s="30">
        <f>'Scenario A (Y2)'!F16*1.15</f>
        <v>1901.0937499999995</v>
      </c>
      <c r="G16" s="30">
        <f>'Scenario A (Y2)'!G16*1.15</f>
        <v>2524.48</v>
      </c>
    </row>
    <row r="19" spans="1:10">
      <c r="B19" s="44" t="s">
        <v>26</v>
      </c>
      <c r="C19" s="44"/>
      <c r="D19" s="44"/>
      <c r="E19" s="44"/>
      <c r="F19" s="44"/>
      <c r="G19" s="44"/>
    </row>
    <row r="20" spans="1:10" ht="31.5" customHeight="1">
      <c r="A20" s="8" t="s">
        <v>27</v>
      </c>
      <c r="B20" s="3" t="s">
        <v>23</v>
      </c>
      <c r="C20" s="3" t="s">
        <v>2</v>
      </c>
      <c r="D20" s="3" t="s">
        <v>3</v>
      </c>
      <c r="E20" s="3" t="s">
        <v>4</v>
      </c>
      <c r="F20" s="3" t="s">
        <v>24</v>
      </c>
      <c r="G20" s="3" t="s">
        <v>5</v>
      </c>
    </row>
    <row r="21" spans="1:10">
      <c r="A21" s="4" t="s">
        <v>10</v>
      </c>
      <c r="B21" s="5">
        <f>'Scenario A (Y2)'!B21*1.15</f>
        <v>0.15208749999999996</v>
      </c>
      <c r="C21" s="5">
        <f>'Scenario A (Y2)'!C21*1.15</f>
        <v>0.18250499999999997</v>
      </c>
      <c r="D21" s="5">
        <f>'Scenario A (Y2)'!D21*1.15</f>
        <v>0.16729624999999998</v>
      </c>
      <c r="E21" s="5">
        <f>'Scenario A (Y2)'!E21*1.15</f>
        <v>0.30417499999999992</v>
      </c>
      <c r="F21" s="5">
        <f>'Scenario A (Y2)'!F21*1.15</f>
        <v>0.33459249999999996</v>
      </c>
      <c r="G21" s="5">
        <f>'Scenario A (Y2)'!G21*1.15</f>
        <v>0.36500999999999995</v>
      </c>
    </row>
    <row r="22" spans="1:10">
      <c r="A22" s="4" t="s">
        <v>6</v>
      </c>
      <c r="B22" s="5">
        <f>'Scenario A (Y2)'!B22*1.15</f>
        <v>0.15208749999999996</v>
      </c>
      <c r="C22" s="5">
        <f>'Scenario A (Y2)'!C22*1.15</f>
        <v>0.18250499999999997</v>
      </c>
      <c r="D22" s="5">
        <f>'Scenario A (Y2)'!D22*1.15</f>
        <v>6.0834999999999993E-2</v>
      </c>
      <c r="E22" s="5">
        <f>'Scenario A (Y2)'!E22*1.15</f>
        <v>0.18250499999999997</v>
      </c>
      <c r="F22" s="5">
        <f>'Scenario A (Y2)'!F22*1.15</f>
        <v>0.22813124999999995</v>
      </c>
      <c r="G22" s="5">
        <f>'Scenario A (Y2)'!G22*1.15</f>
        <v>0.25854874999999999</v>
      </c>
    </row>
    <row r="23" spans="1:10">
      <c r="A23" s="4" t="s">
        <v>7</v>
      </c>
      <c r="B23" s="5">
        <f>'Scenario A (Y2)'!B23*1.15</f>
        <v>0.27375749999999993</v>
      </c>
      <c r="C23" s="5">
        <f>'Scenario A (Y2)'!C23*1.15</f>
        <v>0.24333999999999997</v>
      </c>
      <c r="D23" s="5">
        <f>'Scenario A (Y2)'!D23*1.15</f>
        <v>7.6043749999999979E-2</v>
      </c>
      <c r="E23" s="5">
        <f>'Scenario A (Y2)'!E23*1.15</f>
        <v>6.0834999999999993E-2</v>
      </c>
      <c r="F23" s="5">
        <f>'Scenario A (Y2)'!F23*1.15</f>
        <v>0.15208749999999996</v>
      </c>
      <c r="G23" s="5">
        <f>'Scenario A (Y2)'!G23*1.15</f>
        <v>0.16729624999999998</v>
      </c>
      <c r="I23" t="s">
        <v>28</v>
      </c>
    </row>
    <row r="24" spans="1:10">
      <c r="A24" s="4" t="s">
        <v>8</v>
      </c>
      <c r="B24" s="5">
        <f>'Scenario A (Y2)'!B24*1.15</f>
        <v>0.33459249999999996</v>
      </c>
      <c r="C24" s="5">
        <f>'Scenario A (Y2)'!C24*1.15</f>
        <v>0.36500999999999995</v>
      </c>
      <c r="D24" s="5">
        <f>'Scenario A (Y2)'!D24*1.15</f>
        <v>0.15208749999999996</v>
      </c>
      <c r="E24" s="5">
        <f>'Scenario A (Y2)'!E24*1.15</f>
        <v>0.19771374999999994</v>
      </c>
      <c r="F24" s="5">
        <f>'Scenario A (Y2)'!F24*1.15</f>
        <v>6.0834999999999993E-2</v>
      </c>
      <c r="G24" s="5">
        <f>'Scenario A (Y2)'!G24*1.15</f>
        <v>7.6043749999999979E-2</v>
      </c>
      <c r="I24" s="9"/>
      <c r="J24" t="s">
        <v>29</v>
      </c>
    </row>
    <row r="27" spans="1:10">
      <c r="B27" s="41" t="s">
        <v>30</v>
      </c>
      <c r="C27" s="41"/>
      <c r="D27" s="41"/>
      <c r="E27" s="41"/>
      <c r="F27" s="41"/>
      <c r="G27" s="41"/>
      <c r="H27" s="41"/>
    </row>
    <row r="28" spans="1:10" ht="30">
      <c r="A28" s="8" t="s">
        <v>31</v>
      </c>
      <c r="B28" s="3" t="s">
        <v>23</v>
      </c>
      <c r="C28" s="3" t="s">
        <v>2</v>
      </c>
      <c r="D28" s="3" t="s">
        <v>3</v>
      </c>
      <c r="E28" s="3" t="s">
        <v>4</v>
      </c>
      <c r="F28" s="3" t="s">
        <v>24</v>
      </c>
      <c r="G28" s="3" t="s">
        <v>5</v>
      </c>
      <c r="H28" s="10" t="s">
        <v>32</v>
      </c>
      <c r="I28" s="10" t="s">
        <v>33</v>
      </c>
      <c r="J28" s="10" t="s">
        <v>34</v>
      </c>
    </row>
    <row r="29" spans="1:10">
      <c r="A29" s="4" t="s">
        <v>10</v>
      </c>
      <c r="B29" s="24">
        <v>934.80626885740924</v>
      </c>
      <c r="C29" s="24">
        <v>1281.2799555591514</v>
      </c>
      <c r="D29" s="24">
        <v>2141.9999560514957</v>
      </c>
      <c r="E29" s="24">
        <v>695.31501833506957</v>
      </c>
      <c r="F29" s="24">
        <v>1068.3500188317923</v>
      </c>
      <c r="G29" s="24">
        <v>926.27999995751816</v>
      </c>
      <c r="H29" s="24">
        <v>1</v>
      </c>
      <c r="I29" s="25">
        <f>SUM(B29:G29)</f>
        <v>7048.0312175924364</v>
      </c>
      <c r="J29" s="28">
        <f>6000-I29</f>
        <v>-1048.0312175924364</v>
      </c>
    </row>
    <row r="30" spans="1:10">
      <c r="A30" s="4" t="s">
        <v>6</v>
      </c>
      <c r="B30" s="24">
        <v>0</v>
      </c>
      <c r="C30" s="24">
        <v>0</v>
      </c>
      <c r="D30" s="24">
        <v>0</v>
      </c>
      <c r="E30" s="24">
        <v>0</v>
      </c>
      <c r="F30" s="24">
        <v>0</v>
      </c>
      <c r="G30" s="24">
        <v>0</v>
      </c>
      <c r="H30" s="24">
        <v>0</v>
      </c>
      <c r="I30" s="25">
        <f>SUM(B30:G30)</f>
        <v>0</v>
      </c>
      <c r="J30" s="28">
        <f>6000-I30</f>
        <v>6000</v>
      </c>
    </row>
    <row r="31" spans="1:10">
      <c r="A31" s="4" t="s">
        <v>7</v>
      </c>
      <c r="B31" s="24">
        <v>0</v>
      </c>
      <c r="C31" s="24">
        <v>0</v>
      </c>
      <c r="D31" s="24">
        <v>0</v>
      </c>
      <c r="E31" s="24">
        <v>0</v>
      </c>
      <c r="F31" s="24">
        <v>0</v>
      </c>
      <c r="G31" s="24">
        <v>0</v>
      </c>
      <c r="H31" s="24">
        <v>0</v>
      </c>
      <c r="I31" s="25">
        <f t="shared" ref="I31:I32" si="0">SUM(B31:G31)</f>
        <v>0</v>
      </c>
      <c r="J31" s="28">
        <f>7000-I31</f>
        <v>7000</v>
      </c>
    </row>
    <row r="32" spans="1:10">
      <c r="A32" s="4" t="s">
        <v>8</v>
      </c>
      <c r="B32" s="24">
        <v>129.80623114259041</v>
      </c>
      <c r="C32" s="24">
        <v>161.28004444084851</v>
      </c>
      <c r="D32" s="24">
        <v>342.0000439485043</v>
      </c>
      <c r="E32" s="24">
        <v>105.31498166493036</v>
      </c>
      <c r="F32" s="24">
        <v>148.34998116820708</v>
      </c>
      <c r="G32" s="24">
        <v>516.28000004248179</v>
      </c>
      <c r="H32" s="24">
        <v>1</v>
      </c>
      <c r="I32" s="25">
        <f t="shared" si="0"/>
        <v>1403.0312824075625</v>
      </c>
      <c r="J32" s="28">
        <f>7500-I32</f>
        <v>6096.9687175924373</v>
      </c>
    </row>
    <row r="33" spans="1:10">
      <c r="A33" s="4" t="s">
        <v>35</v>
      </c>
      <c r="B33" s="25">
        <f>SUM(B29:B32)</f>
        <v>1064.6124999999997</v>
      </c>
      <c r="C33" s="25">
        <f t="shared" ref="C33:G33" si="1">SUM(C29:C32)</f>
        <v>1442.56</v>
      </c>
      <c r="D33" s="25">
        <f t="shared" si="1"/>
        <v>2484</v>
      </c>
      <c r="E33" s="25">
        <f t="shared" si="1"/>
        <v>800.62999999999988</v>
      </c>
      <c r="F33" s="25">
        <f t="shared" si="1"/>
        <v>1216.6999999999994</v>
      </c>
      <c r="G33" s="25">
        <f t="shared" si="1"/>
        <v>1442.56</v>
      </c>
    </row>
    <row r="34" spans="1:10">
      <c r="A34" s="4" t="s">
        <v>36</v>
      </c>
      <c r="B34" s="28">
        <f>B14-B33</f>
        <v>0</v>
      </c>
      <c r="C34" s="28">
        <f t="shared" ref="C34:G34" si="2">C14-C33</f>
        <v>0</v>
      </c>
      <c r="D34" s="28">
        <f t="shared" si="2"/>
        <v>0</v>
      </c>
      <c r="E34" s="28">
        <f t="shared" si="2"/>
        <v>0</v>
      </c>
      <c r="F34" s="28">
        <f t="shared" si="2"/>
        <v>0</v>
      </c>
      <c r="G34" s="28">
        <f t="shared" si="2"/>
        <v>0</v>
      </c>
    </row>
    <row r="37" spans="1:10">
      <c r="B37" s="41" t="s">
        <v>37</v>
      </c>
      <c r="C37" s="41"/>
      <c r="D37" s="41"/>
      <c r="E37" s="41"/>
      <c r="F37" s="41"/>
      <c r="G37" s="41"/>
      <c r="H37" s="41"/>
    </row>
    <row r="38" spans="1:10" ht="30">
      <c r="A38" s="12" t="s">
        <v>31</v>
      </c>
      <c r="B38" s="3" t="s">
        <v>23</v>
      </c>
      <c r="C38" s="3" t="s">
        <v>2</v>
      </c>
      <c r="D38" s="3" t="s">
        <v>3</v>
      </c>
      <c r="E38" s="3" t="s">
        <v>4</v>
      </c>
      <c r="F38" s="3" t="s">
        <v>24</v>
      </c>
      <c r="G38" s="3" t="s">
        <v>5</v>
      </c>
      <c r="H38" s="10" t="s">
        <v>32</v>
      </c>
      <c r="I38" s="10" t="s">
        <v>33</v>
      </c>
      <c r="J38" s="10" t="s">
        <v>34</v>
      </c>
    </row>
    <row r="39" spans="1:10">
      <c r="A39" t="s">
        <v>10</v>
      </c>
      <c r="B39" s="24">
        <v>0</v>
      </c>
      <c r="C39" s="24">
        <v>-9.9999999747524271E-7</v>
      </c>
      <c r="D39" s="24">
        <v>0</v>
      </c>
      <c r="E39" s="24">
        <v>4.000001524428059E-6</v>
      </c>
      <c r="F39" s="24">
        <v>-9.9999999925159955E-7</v>
      </c>
      <c r="G39" s="24">
        <v>-9.9999999747524271E-7</v>
      </c>
      <c r="H39" s="18">
        <v>0</v>
      </c>
      <c r="I39" s="23">
        <f>SUM(B39:G39)</f>
        <v>1.000001530225974E-6</v>
      </c>
      <c r="J39" s="19">
        <f>4000-I39</f>
        <v>3999.9999989999983</v>
      </c>
    </row>
    <row r="40" spans="1:10">
      <c r="A40" t="s">
        <v>6</v>
      </c>
      <c r="B40" s="24">
        <v>74.175006532714832</v>
      </c>
      <c r="C40" s="24">
        <v>112.89598870092919</v>
      </c>
      <c r="D40" s="24">
        <v>228.00002636453564</v>
      </c>
      <c r="E40" s="24">
        <v>417.18898896728024</v>
      </c>
      <c r="F40" s="24">
        <v>600.94688829907238</v>
      </c>
      <c r="G40" s="24">
        <v>960.9600117990725</v>
      </c>
      <c r="H40" s="18">
        <v>1</v>
      </c>
      <c r="I40" s="25">
        <f t="shared" ref="I40:I42" si="3">SUM(B40:G40)</f>
        <v>2394.166910663605</v>
      </c>
      <c r="J40" s="28">
        <f>4500-I40</f>
        <v>2105.833089336395</v>
      </c>
    </row>
    <row r="41" spans="1:10">
      <c r="A41" t="s">
        <v>7</v>
      </c>
      <c r="B41" s="24">
        <v>534.17499446692818</v>
      </c>
      <c r="C41" s="24">
        <v>896.89600929942594</v>
      </c>
      <c r="D41" s="24">
        <v>1427.9999736354641</v>
      </c>
      <c r="E41" s="24">
        <v>63.189008032718135</v>
      </c>
      <c r="F41" s="24">
        <v>83.446863700927537</v>
      </c>
      <c r="G41" s="24">
        <v>120.95998920092754</v>
      </c>
      <c r="H41" s="18">
        <v>1</v>
      </c>
      <c r="I41" s="25">
        <f t="shared" si="3"/>
        <v>3126.6668383363913</v>
      </c>
      <c r="J41" s="28">
        <f>5200-I41</f>
        <v>2073.3331616636087</v>
      </c>
    </row>
    <row r="42" spans="1:10">
      <c r="A42" t="s">
        <v>8</v>
      </c>
      <c r="B42" s="24">
        <v>-9.9964323402200385E-7</v>
      </c>
      <c r="C42" s="24">
        <v>2.9996449187239232E-6</v>
      </c>
      <c r="D42" s="24">
        <v>0</v>
      </c>
      <c r="E42" s="24">
        <v>-9.999999999999972E-7</v>
      </c>
      <c r="F42" s="24">
        <v>-9.999999999999972E-7</v>
      </c>
      <c r="G42" s="24">
        <v>0</v>
      </c>
      <c r="H42" s="18">
        <v>0</v>
      </c>
      <c r="I42" s="25">
        <f t="shared" si="3"/>
        <v>1.6847019249479137E-12</v>
      </c>
      <c r="J42" s="28">
        <f>5500-I42</f>
        <v>5499.9999999999982</v>
      </c>
    </row>
    <row r="43" spans="1:10">
      <c r="A43" t="s">
        <v>35</v>
      </c>
      <c r="B43" s="26">
        <f>SUM(B39:B42)</f>
        <v>608.3499999999998</v>
      </c>
      <c r="C43" s="26">
        <f t="shared" ref="C43:G43" si="4">SUM(C39:C42)</f>
        <v>1009.7920000000001</v>
      </c>
      <c r="D43" s="26">
        <f t="shared" si="4"/>
        <v>1655.9999999999998</v>
      </c>
      <c r="E43" s="26">
        <f t="shared" si="4"/>
        <v>480.37799999999993</v>
      </c>
      <c r="F43" s="26">
        <f t="shared" si="4"/>
        <v>684.39374999999995</v>
      </c>
      <c r="G43" s="26">
        <f t="shared" si="4"/>
        <v>1081.92</v>
      </c>
      <c r="I43" s="21"/>
    </row>
    <row r="44" spans="1:10">
      <c r="A44" t="s">
        <v>36</v>
      </c>
      <c r="B44" s="28">
        <f>B15-B43</f>
        <v>0</v>
      </c>
      <c r="C44" s="28">
        <f t="shared" ref="C44:G44" si="5">C15-C43</f>
        <v>0</v>
      </c>
      <c r="D44" s="28">
        <f t="shared" si="5"/>
        <v>0</v>
      </c>
      <c r="E44" s="28">
        <f t="shared" si="5"/>
        <v>0</v>
      </c>
      <c r="F44" s="28">
        <f t="shared" si="5"/>
        <v>0</v>
      </c>
      <c r="G44" s="28">
        <f t="shared" si="5"/>
        <v>0</v>
      </c>
    </row>
    <row r="47" spans="1:10">
      <c r="A47" s="48" t="s">
        <v>52</v>
      </c>
      <c r="B47" s="48"/>
    </row>
    <row r="48" spans="1:10">
      <c r="A48" s="22" t="s">
        <v>9</v>
      </c>
      <c r="B48" s="27">
        <f>(IF(I30&gt;0,1200000)+(IF(I31&gt;0,1500000)+(IF(I32&gt;0,1600000))))</f>
        <v>1600000</v>
      </c>
    </row>
    <row r="49" spans="1:5">
      <c r="A49" s="4" t="s">
        <v>14</v>
      </c>
      <c r="B49" s="15">
        <f>(IF(I29&gt;0,B6)+(IF(I30&gt;0,B7)+(IF(I31&gt;0,B8)+(IF(I32&gt;0,B9)))))</f>
        <v>440000</v>
      </c>
      <c r="D49" t="s">
        <v>28</v>
      </c>
    </row>
    <row r="50" spans="1:5">
      <c r="A50" s="4" t="s">
        <v>39</v>
      </c>
      <c r="B50" s="16">
        <f>360*(((SUM(B29:G29)*C6))+((SUM(B30:G30)*C7))+((SUM(B31:G31)*C8))+((SUM(B32:G32)*C9)))</f>
        <v>887460.18691666378</v>
      </c>
      <c r="D50" s="1"/>
      <c r="E50" t="s">
        <v>40</v>
      </c>
    </row>
    <row r="51" spans="1:5">
      <c r="A51" s="4" t="s">
        <v>41</v>
      </c>
      <c r="B51" s="15">
        <f>360*(((SUMPRODUCT(B29:G29,B21:G21)))+((SUMPRODUCT(B30:G30,B22:G22))+((SUMPRODUCT(B31:G31,B23:G23))+((SUMPRODUCT(B32:G32,B24:G24))))))</f>
        <v>671343.70659371861</v>
      </c>
      <c r="D51" s="13"/>
      <c r="E51" t="s">
        <v>13</v>
      </c>
    </row>
    <row r="52" spans="1:5">
      <c r="A52" s="4" t="s">
        <v>43</v>
      </c>
      <c r="B52" s="15">
        <f>SUM(B48:B51)</f>
        <v>3598803.8935103826</v>
      </c>
      <c r="D52" s="14"/>
      <c r="E52" t="s">
        <v>42</v>
      </c>
    </row>
    <row r="54" spans="1:5">
      <c r="A54" s="48" t="s">
        <v>53</v>
      </c>
      <c r="B54" s="48"/>
    </row>
    <row r="55" spans="1:5">
      <c r="A55" s="4" t="s">
        <v>14</v>
      </c>
      <c r="B55" s="15">
        <f>+(IF(I39&gt;0,E6)+(IF(I40&gt;0,E7)+(IF(I41&gt;0,E8)+(IF(I42&gt;0,E9)))))</f>
        <v>1240000</v>
      </c>
    </row>
    <row r="56" spans="1:5">
      <c r="A56" s="4" t="s">
        <v>39</v>
      </c>
      <c r="B56" s="16">
        <f>360*(((SUM(B39:G39)*F6))+((SUM(B40:G40)*F7))+((SUM(B41:G41)*F8))+((SUM(B42:G42)*F9)))</f>
        <v>894375.06751800003</v>
      </c>
    </row>
    <row r="57" spans="1:5">
      <c r="A57" s="4" t="s">
        <v>41</v>
      </c>
      <c r="B57" s="15">
        <f>360*((SUMPRODUCT(B39:G39,B21:G21))+(SUMPRODUCT(B40:G40,B22:G22))+(SUMPRODUCT(B41:G41,B23:G23))+(SUMPRODUCT(B42:G42,B24:G24)))</f>
        <v>366224.92091410933</v>
      </c>
    </row>
    <row r="58" spans="1:5">
      <c r="A58" s="4" t="s">
        <v>43</v>
      </c>
      <c r="B58" s="15">
        <f>SUM(B55:B57)</f>
        <v>2500599.9884321094</v>
      </c>
    </row>
    <row r="60" spans="1:5">
      <c r="A60" s="48" t="s">
        <v>54</v>
      </c>
      <c r="B60" s="48"/>
    </row>
    <row r="61" spans="1:5">
      <c r="A61" s="4" t="s">
        <v>14</v>
      </c>
      <c r="B61" s="27">
        <f>B49+B55</f>
        <v>1680000</v>
      </c>
    </row>
    <row r="62" spans="1:5">
      <c r="A62" s="4" t="s">
        <v>39</v>
      </c>
      <c r="B62" s="27">
        <f>B50+B56</f>
        <v>1781835.2544346638</v>
      </c>
    </row>
    <row r="63" spans="1:5">
      <c r="A63" s="4" t="s">
        <v>41</v>
      </c>
      <c r="B63" s="27">
        <f>B51+B57</f>
        <v>1037568.6275078279</v>
      </c>
    </row>
    <row r="64" spans="1:5">
      <c r="A64" s="4" t="s">
        <v>43</v>
      </c>
      <c r="B64" s="27">
        <f>B52+B58</f>
        <v>6099403.881942492</v>
      </c>
    </row>
  </sheetData>
  <mergeCells count="10">
    <mergeCell ref="B37:H37"/>
    <mergeCell ref="A47:B47"/>
    <mergeCell ref="A54:B54"/>
    <mergeCell ref="A60:B60"/>
    <mergeCell ref="B3:G3"/>
    <mergeCell ref="B4:D4"/>
    <mergeCell ref="E4:G4"/>
    <mergeCell ref="B12:G12"/>
    <mergeCell ref="B19:G19"/>
    <mergeCell ref="B27:H27"/>
  </mergeCells>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J38"/>
  <sheetViews>
    <sheetView topLeftCell="A10" workbookViewId="0">
      <selection activeCell="M21" sqref="M21"/>
    </sheetView>
  </sheetViews>
  <sheetFormatPr defaultRowHeight="15"/>
  <cols>
    <col min="2" max="2" width="15" customWidth="1"/>
    <col min="3" max="3" width="11.140625" customWidth="1"/>
    <col min="4" max="4" width="11.42578125" customWidth="1"/>
    <col min="5" max="5" width="11.28515625" customWidth="1"/>
    <col min="7" max="7" width="12.42578125" customWidth="1"/>
    <col min="9" max="9" width="12.42578125" customWidth="1"/>
  </cols>
  <sheetData>
    <row r="1" spans="1:10">
      <c r="A1" t="s">
        <v>55</v>
      </c>
    </row>
    <row r="2" spans="1:10">
      <c r="A2" t="s">
        <v>51</v>
      </c>
    </row>
    <row r="3" spans="1:10" ht="15.75" thickBot="1"/>
    <row r="4" spans="1:10">
      <c r="A4" s="45" t="s">
        <v>46</v>
      </c>
      <c r="B4" s="31"/>
      <c r="C4" s="47" t="s">
        <v>48</v>
      </c>
      <c r="D4" s="47"/>
      <c r="E4" s="47"/>
      <c r="F4" s="47"/>
      <c r="G4" s="47"/>
      <c r="H4" s="47"/>
      <c r="I4" s="31"/>
      <c r="J4" s="32"/>
    </row>
    <row r="5" spans="1:10" ht="45">
      <c r="A5" s="46"/>
      <c r="B5" s="8" t="s">
        <v>31</v>
      </c>
      <c r="C5" s="3" t="s">
        <v>23</v>
      </c>
      <c r="D5" s="3" t="s">
        <v>2</v>
      </c>
      <c r="E5" s="3" t="s">
        <v>3</v>
      </c>
      <c r="F5" s="3" t="s">
        <v>4</v>
      </c>
      <c r="G5" s="3" t="s">
        <v>24</v>
      </c>
      <c r="H5" s="3" t="s">
        <v>5</v>
      </c>
      <c r="I5" s="10" t="s">
        <v>33</v>
      </c>
      <c r="J5" s="33"/>
    </row>
    <row r="6" spans="1:10">
      <c r="A6" s="46"/>
      <c r="B6" s="4" t="s">
        <v>10</v>
      </c>
      <c r="C6" s="24">
        <v>805.00000005123297</v>
      </c>
      <c r="D6" s="18">
        <v>1120.0000000000034</v>
      </c>
      <c r="E6" s="18">
        <v>1799.9999999846921</v>
      </c>
      <c r="F6" s="18">
        <v>590.00000000655325</v>
      </c>
      <c r="G6" s="18">
        <v>919.99999999999943</v>
      </c>
      <c r="H6" s="18">
        <v>764.99999995751853</v>
      </c>
      <c r="I6" s="17">
        <f>SUM(C6:H6)</f>
        <v>5999.9999999999991</v>
      </c>
      <c r="J6" s="33"/>
    </row>
    <row r="7" spans="1:10">
      <c r="A7" s="46"/>
      <c r="B7" s="4" t="s">
        <v>8</v>
      </c>
      <c r="C7" s="18">
        <v>0</v>
      </c>
      <c r="D7" s="18">
        <v>0</v>
      </c>
      <c r="E7" s="18">
        <v>0</v>
      </c>
      <c r="F7" s="18">
        <v>0</v>
      </c>
      <c r="G7" s="18">
        <v>0</v>
      </c>
      <c r="H7" s="18">
        <v>355.00000004248221</v>
      </c>
      <c r="I7" s="17">
        <f>SUM(C7:H7)</f>
        <v>355.00000004248221</v>
      </c>
      <c r="J7" s="33"/>
    </row>
    <row r="8" spans="1:10">
      <c r="A8" s="46"/>
      <c r="B8" s="20"/>
      <c r="C8" s="20"/>
      <c r="D8" s="20"/>
      <c r="E8" s="20"/>
      <c r="F8" s="20"/>
      <c r="G8" s="20"/>
      <c r="H8" s="20"/>
      <c r="I8" s="20"/>
      <c r="J8" s="33"/>
    </row>
    <row r="9" spans="1:10">
      <c r="A9" s="46"/>
      <c r="B9" s="20"/>
      <c r="C9" s="20"/>
      <c r="D9" s="20"/>
      <c r="E9" s="20"/>
      <c r="F9" s="20"/>
      <c r="G9" s="20"/>
      <c r="H9" s="20"/>
      <c r="I9" s="20"/>
      <c r="J9" s="33"/>
    </row>
    <row r="10" spans="1:10">
      <c r="A10" s="46"/>
      <c r="B10" s="44" t="s">
        <v>49</v>
      </c>
      <c r="C10" s="44"/>
      <c r="D10" s="44"/>
      <c r="E10" s="44"/>
      <c r="F10" s="44"/>
      <c r="G10" s="44"/>
      <c r="H10" s="44"/>
      <c r="I10" s="44"/>
      <c r="J10" s="33"/>
    </row>
    <row r="11" spans="1:10" ht="45">
      <c r="A11" s="46"/>
      <c r="B11" s="12" t="s">
        <v>31</v>
      </c>
      <c r="C11" s="3" t="s">
        <v>23</v>
      </c>
      <c r="D11" s="3" t="s">
        <v>2</v>
      </c>
      <c r="E11" s="3" t="s">
        <v>3</v>
      </c>
      <c r="F11" s="3" t="s">
        <v>4</v>
      </c>
      <c r="G11" s="3" t="s">
        <v>24</v>
      </c>
      <c r="H11" s="3" t="s">
        <v>5</v>
      </c>
      <c r="I11" s="10" t="s">
        <v>33</v>
      </c>
      <c r="J11" s="33"/>
    </row>
    <row r="12" spans="1:10">
      <c r="A12" s="46"/>
      <c r="B12" t="s">
        <v>6</v>
      </c>
      <c r="C12" s="24">
        <v>0</v>
      </c>
      <c r="D12" s="24">
        <v>0</v>
      </c>
      <c r="E12" s="24">
        <v>0</v>
      </c>
      <c r="F12" s="24">
        <v>353.99999699999205</v>
      </c>
      <c r="G12" s="24">
        <v>517.50000199999999</v>
      </c>
      <c r="H12" s="24">
        <v>840.000001</v>
      </c>
      <c r="I12" s="25">
        <f>SUM(C12:H12)</f>
        <v>1711.499999999992</v>
      </c>
      <c r="J12" s="33"/>
    </row>
    <row r="13" spans="1:10">
      <c r="A13" s="46"/>
      <c r="B13" t="s">
        <v>7</v>
      </c>
      <c r="C13" s="24">
        <v>460.00000199964336</v>
      </c>
      <c r="D13" s="24">
        <v>783.99999800035187</v>
      </c>
      <c r="E13" s="24">
        <v>1199.9999999999329</v>
      </c>
      <c r="F13" s="24">
        <v>0</v>
      </c>
      <c r="G13" s="24">
        <v>0</v>
      </c>
      <c r="H13" s="24">
        <v>3.5527136788005009E-15</v>
      </c>
      <c r="I13" s="25">
        <f>SUM(C13:H13)</f>
        <v>2443.9999999999281</v>
      </c>
      <c r="J13" s="33"/>
    </row>
    <row r="14" spans="1:10" ht="15.75" thickBot="1">
      <c r="A14" s="34"/>
      <c r="B14" s="35"/>
      <c r="C14" s="35"/>
      <c r="D14" s="35"/>
      <c r="E14" s="35"/>
      <c r="F14" s="35"/>
      <c r="G14" s="35"/>
      <c r="H14" s="35"/>
      <c r="I14" s="35"/>
      <c r="J14" s="36"/>
    </row>
    <row r="15" spans="1:10" ht="15.75" thickBot="1"/>
    <row r="16" spans="1:10">
      <c r="A16" s="45" t="s">
        <v>11</v>
      </c>
      <c r="B16" s="31"/>
      <c r="C16" s="47" t="s">
        <v>48</v>
      </c>
      <c r="D16" s="47"/>
      <c r="E16" s="47"/>
      <c r="F16" s="47"/>
      <c r="G16" s="47"/>
      <c r="H16" s="47"/>
      <c r="I16" s="31"/>
      <c r="J16" s="32"/>
    </row>
    <row r="17" spans="1:10" ht="45">
      <c r="A17" s="46"/>
      <c r="B17" s="37" t="s">
        <v>31</v>
      </c>
      <c r="C17" s="38" t="s">
        <v>23</v>
      </c>
      <c r="D17" s="38" t="s">
        <v>2</v>
      </c>
      <c r="E17" s="38" t="s">
        <v>3</v>
      </c>
      <c r="F17" s="38" t="s">
        <v>4</v>
      </c>
      <c r="G17" s="38" t="s">
        <v>24</v>
      </c>
      <c r="H17" s="38" t="s">
        <v>5</v>
      </c>
      <c r="I17" s="39" t="s">
        <v>33</v>
      </c>
      <c r="J17" s="33"/>
    </row>
    <row r="18" spans="1:10">
      <c r="A18" s="46"/>
      <c r="B18" s="4" t="s">
        <v>10</v>
      </c>
      <c r="C18" s="24">
        <v>0</v>
      </c>
      <c r="D18" s="24">
        <v>0</v>
      </c>
      <c r="E18" s="24">
        <v>2159.9999999999995</v>
      </c>
      <c r="F18" s="24">
        <v>696.19999999999993</v>
      </c>
      <c r="G18" s="24">
        <v>1057.9999999999998</v>
      </c>
      <c r="H18" s="24">
        <v>1254.4000000000003</v>
      </c>
      <c r="I18" s="25">
        <f>SUM(C18:H18)</f>
        <v>5168.5999999999995</v>
      </c>
      <c r="J18" s="33"/>
    </row>
    <row r="19" spans="1:10">
      <c r="A19" s="46"/>
      <c r="B19" s="4" t="s">
        <v>8</v>
      </c>
      <c r="C19" s="24">
        <v>925.75000000000023</v>
      </c>
      <c r="D19" s="24">
        <v>1254.4000000000008</v>
      </c>
      <c r="E19" s="24">
        <v>0</v>
      </c>
      <c r="F19" s="24">
        <v>0</v>
      </c>
      <c r="G19" s="24">
        <v>0</v>
      </c>
      <c r="H19" s="24">
        <v>0</v>
      </c>
      <c r="I19" s="25">
        <f>SUM(C19:H19)</f>
        <v>2180.150000000001</v>
      </c>
      <c r="J19" s="33"/>
    </row>
    <row r="20" spans="1:10">
      <c r="A20" s="46"/>
      <c r="B20" s="20"/>
      <c r="C20" s="20"/>
      <c r="D20" s="20"/>
      <c r="E20" s="20"/>
      <c r="F20" s="20"/>
      <c r="G20" s="20"/>
      <c r="H20" s="20"/>
      <c r="I20" s="20"/>
      <c r="J20" s="33"/>
    </row>
    <row r="21" spans="1:10">
      <c r="A21" s="46"/>
      <c r="B21" s="20"/>
      <c r="C21" s="20"/>
      <c r="D21" s="20"/>
      <c r="E21" s="20"/>
      <c r="F21" s="20"/>
      <c r="G21" s="20"/>
      <c r="H21" s="20"/>
      <c r="I21" s="20"/>
      <c r="J21" s="33"/>
    </row>
    <row r="22" spans="1:10">
      <c r="A22" s="46"/>
      <c r="B22" s="44" t="s">
        <v>37</v>
      </c>
      <c r="C22" s="44"/>
      <c r="D22" s="44"/>
      <c r="E22" s="44"/>
      <c r="F22" s="44"/>
      <c r="G22" s="44"/>
      <c r="H22" s="44"/>
      <c r="I22" s="44"/>
      <c r="J22" s="33"/>
    </row>
    <row r="23" spans="1:10" ht="45">
      <c r="A23" s="46"/>
      <c r="B23" s="12" t="s">
        <v>31</v>
      </c>
      <c r="C23" s="3" t="s">
        <v>23</v>
      </c>
      <c r="D23" s="3" t="s">
        <v>2</v>
      </c>
      <c r="E23" s="3" t="s">
        <v>3</v>
      </c>
      <c r="F23" s="3" t="s">
        <v>4</v>
      </c>
      <c r="G23" s="3" t="s">
        <v>24</v>
      </c>
      <c r="H23" s="3" t="s">
        <v>5</v>
      </c>
      <c r="I23" s="10" t="s">
        <v>33</v>
      </c>
      <c r="J23" s="33"/>
    </row>
    <row r="24" spans="1:10">
      <c r="A24" s="46"/>
      <c r="B24" t="s">
        <v>6</v>
      </c>
      <c r="C24" s="24">
        <v>34.500002798007451</v>
      </c>
      <c r="D24" s="24">
        <v>47.039993802990367</v>
      </c>
      <c r="E24" s="24">
        <v>120.00001329305978</v>
      </c>
      <c r="F24" s="24">
        <v>385.85999270198766</v>
      </c>
      <c r="G24" s="24">
        <v>556.31250719701131</v>
      </c>
      <c r="H24" s="24">
        <v>890.40000619701141</v>
      </c>
      <c r="I24" s="25">
        <f>SUM(C24:H24)</f>
        <v>2034.112515990068</v>
      </c>
      <c r="J24" s="33"/>
    </row>
    <row r="25" spans="1:10">
      <c r="A25" s="46"/>
      <c r="B25" t="s">
        <v>7</v>
      </c>
      <c r="C25" s="24">
        <v>494.49999820163566</v>
      </c>
      <c r="D25" s="24">
        <v>831.04000419736485</v>
      </c>
      <c r="E25" s="24">
        <v>1319.99998670694</v>
      </c>
      <c r="F25" s="24">
        <v>31.860004298010757</v>
      </c>
      <c r="G25" s="24">
        <v>38.812494802988631</v>
      </c>
      <c r="H25" s="24">
        <v>50.3999948029888</v>
      </c>
      <c r="I25" s="25">
        <f>SUM(C25:H25)</f>
        <v>2766.6124830099284</v>
      </c>
      <c r="J25" s="33"/>
    </row>
    <row r="26" spans="1:10" ht="15.75" thickBot="1">
      <c r="A26" s="34"/>
      <c r="B26" s="35"/>
      <c r="C26" s="35"/>
      <c r="D26" s="35"/>
      <c r="E26" s="35"/>
      <c r="F26" s="35"/>
      <c r="G26" s="35"/>
      <c r="H26" s="35"/>
      <c r="I26" s="35"/>
      <c r="J26" s="36"/>
    </row>
    <row r="27" spans="1:10" ht="15.75" thickBot="1"/>
    <row r="28" spans="1:10">
      <c r="A28" s="45" t="s">
        <v>12</v>
      </c>
      <c r="B28" s="31"/>
      <c r="C28" s="47" t="s">
        <v>47</v>
      </c>
      <c r="D28" s="47"/>
      <c r="E28" s="47"/>
      <c r="F28" s="47"/>
      <c r="G28" s="47"/>
      <c r="H28" s="47"/>
      <c r="I28" s="31"/>
      <c r="J28" s="32"/>
    </row>
    <row r="29" spans="1:10" ht="45">
      <c r="A29" s="46"/>
      <c r="B29" s="37" t="s">
        <v>31</v>
      </c>
      <c r="C29" s="38" t="s">
        <v>23</v>
      </c>
      <c r="D29" s="38" t="s">
        <v>2</v>
      </c>
      <c r="E29" s="38" t="s">
        <v>3</v>
      </c>
      <c r="F29" s="38" t="s">
        <v>4</v>
      </c>
      <c r="G29" s="38" t="s">
        <v>24</v>
      </c>
      <c r="H29" s="38" t="s">
        <v>5</v>
      </c>
      <c r="I29" s="39" t="s">
        <v>33</v>
      </c>
      <c r="J29" s="33"/>
    </row>
    <row r="30" spans="1:10">
      <c r="A30" s="46"/>
      <c r="B30" s="4" t="s">
        <v>10</v>
      </c>
      <c r="C30" s="24">
        <v>934.80626885740924</v>
      </c>
      <c r="D30" s="24">
        <v>1281.2799555591514</v>
      </c>
      <c r="E30" s="24">
        <v>2141.9999560514957</v>
      </c>
      <c r="F30" s="24">
        <v>695.31501833506957</v>
      </c>
      <c r="G30" s="24">
        <v>1068.3500188317923</v>
      </c>
      <c r="H30" s="24">
        <v>926.27999995751816</v>
      </c>
      <c r="I30" s="25">
        <f>SUM(C30:H30)</f>
        <v>7048.0312175924364</v>
      </c>
      <c r="J30" s="33"/>
    </row>
    <row r="31" spans="1:10">
      <c r="A31" s="46"/>
      <c r="B31" s="4" t="s">
        <v>8</v>
      </c>
      <c r="C31" s="24">
        <v>129.80623114259041</v>
      </c>
      <c r="D31" s="24">
        <v>161.28004444084851</v>
      </c>
      <c r="E31" s="24">
        <v>342.0000439485043</v>
      </c>
      <c r="F31" s="24">
        <v>105.31498166493036</v>
      </c>
      <c r="G31" s="24">
        <v>148.34998116820708</v>
      </c>
      <c r="H31" s="24">
        <v>516.28000004248179</v>
      </c>
      <c r="I31" s="25">
        <f>SUM(C31:H31)</f>
        <v>1403.0312824075625</v>
      </c>
      <c r="J31" s="33"/>
    </row>
    <row r="32" spans="1:10">
      <c r="A32" s="46"/>
      <c r="B32" s="20"/>
      <c r="C32" s="20"/>
      <c r="D32" s="20"/>
      <c r="E32" s="20"/>
      <c r="F32" s="20"/>
      <c r="G32" s="20"/>
      <c r="H32" s="20"/>
      <c r="I32" s="20"/>
      <c r="J32" s="33"/>
    </row>
    <row r="33" spans="1:10">
      <c r="A33" s="46"/>
      <c r="B33" s="20"/>
      <c r="C33" s="20"/>
      <c r="D33" s="20"/>
      <c r="E33" s="20"/>
      <c r="F33" s="20"/>
      <c r="G33" s="20"/>
      <c r="H33" s="20"/>
      <c r="I33" s="20"/>
      <c r="J33" s="33"/>
    </row>
    <row r="34" spans="1:10">
      <c r="A34" s="46"/>
      <c r="B34" s="44" t="s">
        <v>49</v>
      </c>
      <c r="C34" s="44"/>
      <c r="D34" s="44"/>
      <c r="E34" s="44"/>
      <c r="F34" s="44"/>
      <c r="G34" s="44"/>
      <c r="H34" s="44"/>
      <c r="I34" s="44"/>
      <c r="J34" s="33"/>
    </row>
    <row r="35" spans="1:10" ht="45">
      <c r="A35" s="46"/>
      <c r="B35" s="40" t="s">
        <v>31</v>
      </c>
      <c r="C35" s="38" t="s">
        <v>23</v>
      </c>
      <c r="D35" s="38" t="s">
        <v>2</v>
      </c>
      <c r="E35" s="38" t="s">
        <v>3</v>
      </c>
      <c r="F35" s="38" t="s">
        <v>4</v>
      </c>
      <c r="G35" s="38" t="s">
        <v>24</v>
      </c>
      <c r="H35" s="38" t="s">
        <v>5</v>
      </c>
      <c r="I35" s="39" t="s">
        <v>33</v>
      </c>
      <c r="J35" s="33"/>
    </row>
    <row r="36" spans="1:10">
      <c r="A36" s="46"/>
      <c r="B36" t="s">
        <v>6</v>
      </c>
      <c r="C36" s="24">
        <v>74.175006532714832</v>
      </c>
      <c r="D36" s="24">
        <v>112.89598870092919</v>
      </c>
      <c r="E36" s="24">
        <v>228.00002636453564</v>
      </c>
      <c r="F36" s="24">
        <v>417.18898896728024</v>
      </c>
      <c r="G36" s="24">
        <v>600.94688829907238</v>
      </c>
      <c r="H36" s="24">
        <v>960.9600117990725</v>
      </c>
      <c r="I36" s="25">
        <f>SUM(C36:H36)</f>
        <v>2394.166910663605</v>
      </c>
      <c r="J36" s="33"/>
    </row>
    <row r="37" spans="1:10">
      <c r="A37" s="46"/>
      <c r="B37" t="s">
        <v>7</v>
      </c>
      <c r="C37" s="24">
        <v>534.17499446692818</v>
      </c>
      <c r="D37" s="24">
        <v>896.89600929942594</v>
      </c>
      <c r="E37" s="24">
        <v>1427.9999736354641</v>
      </c>
      <c r="F37" s="24">
        <v>63.189008032718135</v>
      </c>
      <c r="G37" s="24">
        <v>83.446863700927537</v>
      </c>
      <c r="H37" s="24">
        <v>120.95998920092754</v>
      </c>
      <c r="I37" s="25">
        <f>SUM(C37:H37)</f>
        <v>3126.6668383363913</v>
      </c>
      <c r="J37" s="33"/>
    </row>
    <row r="38" spans="1:10" ht="15.75" thickBot="1">
      <c r="A38" s="34"/>
      <c r="B38" s="35"/>
      <c r="C38" s="35"/>
      <c r="D38" s="35"/>
      <c r="E38" s="35"/>
      <c r="F38" s="35"/>
      <c r="G38" s="35"/>
      <c r="H38" s="35"/>
      <c r="I38" s="35"/>
      <c r="J38" s="36"/>
    </row>
  </sheetData>
  <mergeCells count="9">
    <mergeCell ref="A28:A37"/>
    <mergeCell ref="C28:H28"/>
    <mergeCell ref="B34:I34"/>
    <mergeCell ref="A4:A13"/>
    <mergeCell ref="C4:H4"/>
    <mergeCell ref="B10:I10"/>
    <mergeCell ref="A16:A25"/>
    <mergeCell ref="C16:H16"/>
    <mergeCell ref="B22:I22"/>
  </mergeCells>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L16"/>
  <sheetViews>
    <sheetView tabSelected="1" workbookViewId="0">
      <selection activeCell="O6" sqref="O6"/>
    </sheetView>
  </sheetViews>
  <sheetFormatPr defaultRowHeight="15"/>
  <cols>
    <col min="2" max="2" width="20.42578125" customWidth="1"/>
    <col min="10" max="10" width="9.140625" customWidth="1"/>
    <col min="11" max="11" width="0.28515625" customWidth="1"/>
    <col min="12" max="12" width="9.140625" hidden="1" customWidth="1"/>
  </cols>
  <sheetData>
    <row r="1" spans="1:12" ht="12.75" customHeight="1">
      <c r="A1" s="49" t="s">
        <v>56</v>
      </c>
      <c r="B1" s="50"/>
      <c r="C1" s="50"/>
      <c r="D1" s="50"/>
      <c r="E1" s="50"/>
      <c r="F1" s="50"/>
      <c r="G1" s="50"/>
      <c r="H1" s="50"/>
      <c r="I1" s="50"/>
      <c r="J1" s="50"/>
      <c r="K1" s="50"/>
      <c r="L1" s="51"/>
    </row>
    <row r="2" spans="1:12">
      <c r="A2" s="52"/>
      <c r="B2" s="53"/>
      <c r="C2" s="53"/>
      <c r="D2" s="53"/>
      <c r="E2" s="53"/>
      <c r="F2" s="53"/>
      <c r="G2" s="53"/>
      <c r="H2" s="53"/>
      <c r="I2" s="53"/>
      <c r="J2" s="53"/>
      <c r="K2" s="53"/>
      <c r="L2" s="54"/>
    </row>
    <row r="3" spans="1:12" ht="75.75" customHeight="1" thickBot="1">
      <c r="A3" s="55"/>
      <c r="B3" s="56"/>
      <c r="C3" s="56"/>
      <c r="D3" s="56"/>
      <c r="E3" s="56"/>
      <c r="F3" s="56"/>
      <c r="G3" s="56"/>
      <c r="H3" s="56"/>
      <c r="I3" s="56"/>
      <c r="J3" s="56"/>
      <c r="K3" s="56"/>
      <c r="L3" s="57"/>
    </row>
    <row r="4" spans="1:12">
      <c r="A4" t="s">
        <v>57</v>
      </c>
    </row>
    <row r="5" spans="1:12" ht="15.75" thickBot="1"/>
    <row r="6" spans="1:12">
      <c r="A6" s="45" t="s">
        <v>12</v>
      </c>
      <c r="B6" s="31"/>
      <c r="C6" s="47" t="s">
        <v>47</v>
      </c>
      <c r="D6" s="47"/>
      <c r="E6" s="47"/>
      <c r="F6" s="47"/>
      <c r="G6" s="47"/>
      <c r="H6" s="47"/>
      <c r="I6" s="31"/>
      <c r="J6" s="32"/>
    </row>
    <row r="7" spans="1:12" ht="60">
      <c r="A7" s="46"/>
      <c r="B7" s="37" t="s">
        <v>31</v>
      </c>
      <c r="C7" s="38" t="s">
        <v>23</v>
      </c>
      <c r="D7" s="38" t="s">
        <v>2</v>
      </c>
      <c r="E7" s="38" t="s">
        <v>3</v>
      </c>
      <c r="F7" s="38" t="s">
        <v>4</v>
      </c>
      <c r="G7" s="38" t="s">
        <v>24</v>
      </c>
      <c r="H7" s="38" t="s">
        <v>5</v>
      </c>
      <c r="I7" s="39" t="s">
        <v>33</v>
      </c>
      <c r="J7" s="33"/>
    </row>
    <row r="8" spans="1:12">
      <c r="A8" s="46"/>
      <c r="B8" s="4" t="s">
        <v>10</v>
      </c>
      <c r="C8" s="24">
        <v>1064.6125</v>
      </c>
      <c r="D8" s="24">
        <v>1442.5599999999997</v>
      </c>
      <c r="E8" s="24">
        <v>2483.9999999999991</v>
      </c>
      <c r="F8" s="24">
        <v>800.62999999999965</v>
      </c>
      <c r="G8" s="24">
        <v>208.1975000000015</v>
      </c>
      <c r="H8" s="24">
        <v>0</v>
      </c>
      <c r="I8" s="17">
        <f>SUM(C8:H8)</f>
        <v>5999.9999999999991</v>
      </c>
      <c r="J8" s="33"/>
    </row>
    <row r="9" spans="1:12">
      <c r="A9" s="46"/>
      <c r="B9" s="4" t="s">
        <v>8</v>
      </c>
      <c r="C9" s="24">
        <v>0</v>
      </c>
      <c r="D9" s="24">
        <v>0</v>
      </c>
      <c r="E9" s="24">
        <v>0</v>
      </c>
      <c r="F9" s="24">
        <v>0</v>
      </c>
      <c r="G9" s="24">
        <v>1008.5024999999983</v>
      </c>
      <c r="H9" s="24">
        <v>1442.5600000000006</v>
      </c>
      <c r="I9" s="25">
        <f>SUM(C9:H9)</f>
        <v>2451.0624999999991</v>
      </c>
      <c r="J9" s="33"/>
    </row>
    <row r="10" spans="1:12">
      <c r="A10" s="46"/>
      <c r="B10" s="20"/>
      <c r="C10" s="20"/>
      <c r="D10" s="20"/>
      <c r="E10" s="20"/>
      <c r="F10" s="20"/>
      <c r="G10" s="20"/>
      <c r="H10" s="20"/>
      <c r="I10" s="20"/>
      <c r="J10" s="33"/>
    </row>
    <row r="11" spans="1:12">
      <c r="A11" s="46"/>
      <c r="B11" s="20"/>
      <c r="C11" s="20"/>
      <c r="D11" s="20"/>
      <c r="E11" s="20"/>
      <c r="F11" s="20"/>
      <c r="G11" s="20"/>
      <c r="H11" s="20"/>
      <c r="I11" s="20"/>
      <c r="J11" s="33"/>
    </row>
    <row r="12" spans="1:12">
      <c r="A12" s="46"/>
      <c r="B12" s="44" t="s">
        <v>49</v>
      </c>
      <c r="C12" s="44"/>
      <c r="D12" s="44"/>
      <c r="E12" s="44"/>
      <c r="F12" s="44"/>
      <c r="G12" s="44"/>
      <c r="H12" s="44"/>
      <c r="I12" s="44"/>
      <c r="J12" s="33"/>
    </row>
    <row r="13" spans="1:12" ht="60">
      <c r="A13" s="46"/>
      <c r="B13" s="40" t="s">
        <v>31</v>
      </c>
      <c r="C13" s="38" t="s">
        <v>23</v>
      </c>
      <c r="D13" s="38" t="s">
        <v>2</v>
      </c>
      <c r="E13" s="38" t="s">
        <v>3</v>
      </c>
      <c r="F13" s="38" t="s">
        <v>4</v>
      </c>
      <c r="G13" s="38" t="s">
        <v>24</v>
      </c>
      <c r="H13" s="38" t="s">
        <v>5</v>
      </c>
      <c r="I13" s="39" t="s">
        <v>33</v>
      </c>
      <c r="J13" s="33"/>
    </row>
    <row r="14" spans="1:12">
      <c r="A14" s="46"/>
      <c r="B14" s="20" t="s">
        <v>10</v>
      </c>
      <c r="C14" s="24">
        <v>608.34999999999968</v>
      </c>
      <c r="D14" s="24">
        <v>1009.7920000000004</v>
      </c>
      <c r="E14" s="24">
        <v>1655.9999999999998</v>
      </c>
      <c r="F14" s="24">
        <v>480.3780000000001</v>
      </c>
      <c r="G14" s="24">
        <v>245.4800008863366</v>
      </c>
      <c r="H14" s="24">
        <v>0</v>
      </c>
      <c r="I14" s="17">
        <f>SUM(C14:H14)</f>
        <v>4000.0000008863367</v>
      </c>
      <c r="J14" s="33"/>
    </row>
    <row r="15" spans="1:12">
      <c r="A15" s="46"/>
      <c r="B15" s="20" t="s">
        <v>8</v>
      </c>
      <c r="C15" s="24">
        <v>0</v>
      </c>
      <c r="D15" s="24">
        <v>0</v>
      </c>
      <c r="E15" s="24">
        <v>0</v>
      </c>
      <c r="F15" s="24">
        <v>0</v>
      </c>
      <c r="G15" s="24">
        <v>438.91374911366336</v>
      </c>
      <c r="H15" s="24">
        <v>1081.9199999999998</v>
      </c>
      <c r="I15" s="25">
        <f>SUM(C15:H15)</f>
        <v>1520.8337491136631</v>
      </c>
      <c r="J15" s="33"/>
    </row>
    <row r="16" spans="1:12" ht="15.75" thickBot="1">
      <c r="A16" s="34"/>
      <c r="B16" s="35"/>
      <c r="C16" s="35"/>
      <c r="D16" s="35"/>
      <c r="E16" s="35"/>
      <c r="F16" s="35"/>
      <c r="G16" s="35"/>
      <c r="H16" s="35"/>
      <c r="I16" s="35"/>
      <c r="J16" s="36"/>
    </row>
  </sheetData>
  <mergeCells count="4">
    <mergeCell ref="A1:L3"/>
    <mergeCell ref="A6:A15"/>
    <mergeCell ref="C6:H6"/>
    <mergeCell ref="B12:I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Current Cost</vt:lpstr>
      <vt:lpstr>Scenario A (Y1)</vt:lpstr>
      <vt:lpstr>Scenario A (Y2)</vt:lpstr>
      <vt:lpstr>Scenario A (Y3)</vt:lpstr>
      <vt:lpstr>Recommendation Scenario A</vt:lpstr>
      <vt:lpstr>Scenario B (Y1)</vt:lpstr>
      <vt:lpstr>Scenario B (Y2)</vt:lpstr>
      <vt:lpstr>Scenario B (Y3)</vt:lpstr>
      <vt:lpstr>Recommendation Scenario B</vt:lpstr>
      <vt:lpstr>Scenario C (Y1)</vt:lpstr>
      <vt:lpstr>Scenario C (Y2)</vt:lpstr>
      <vt:lpstr>Scenario C (Y3)</vt:lpstr>
      <vt:lpstr>Recommendation Scenario C</vt:lpstr>
      <vt:lpstr>Action Plan</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2016-07-30T09:14:22Z</dcterms:modified>
</cp:coreProperties>
</file>