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/>
  <xr:revisionPtr revIDLastSave="0" documentId="13_ncr:1_{F781DEB1-9B33-4614-92CC-829F5F4D63CD}" xr6:coauthVersionLast="45" xr6:coauthVersionMax="45" xr10:uidLastSave="{00000000-0000-0000-0000-000000000000}"/>
  <bookViews>
    <workbookView xWindow="-120" yWindow="-120" windowWidth="20730" windowHeight="11160" activeTab="11" xr2:uid="{00000000-000D-0000-FFFF-FFFF00000000}"/>
  </bookViews>
  <sheets>
    <sheet name="Q1" sheetId="1" r:id="rId1"/>
    <sheet name="2020a" sheetId="2" r:id="rId2"/>
    <sheet name="2020b" sheetId="3" r:id="rId3"/>
    <sheet name="2020c" sheetId="4" r:id="rId4"/>
    <sheet name="2021a" sheetId="5" r:id="rId5"/>
    <sheet name="2021b" sheetId="7" r:id="rId6"/>
    <sheet name="2021c" sheetId="6" r:id="rId7"/>
    <sheet name="2022a" sheetId="8" r:id="rId8"/>
    <sheet name="2022b" sheetId="9" r:id="rId9"/>
    <sheet name="2022c" sheetId="10" r:id="rId10"/>
    <sheet name="Sheet1" sheetId="11" r:id="rId11"/>
    <sheet name="Sheet2" sheetId="12" r:id="rId12"/>
  </sheets>
  <definedNames>
    <definedName name="solver_adj" localSheetId="1" hidden="1">'2020a'!$B$15:$K$19</definedName>
    <definedName name="solver_adj" localSheetId="2" hidden="1">'2020b'!$B$15:$K$19</definedName>
    <definedName name="solver_adj" localSheetId="3" hidden="1">'2020c'!$B$15:$K$19</definedName>
    <definedName name="solver_adj" localSheetId="4" hidden="1">'2021a'!$B$15:$K$19</definedName>
    <definedName name="solver_adj" localSheetId="5" hidden="1">'2021b'!$B$15:$K$19</definedName>
    <definedName name="solver_adj" localSheetId="6" hidden="1">'2021c'!$B$15:$K$19</definedName>
    <definedName name="solver_adj" localSheetId="7" hidden="1">'2022a'!$B$15:$K$19</definedName>
    <definedName name="solver_adj" localSheetId="8" hidden="1">'2022b'!$B$15:$K$19</definedName>
    <definedName name="solver_adj" localSheetId="9" hidden="1">'2022c'!$B$15:$K$19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itr" localSheetId="1" hidden="1">0</definedName>
    <definedName name="solver_itr" localSheetId="2" hidden="1">0</definedName>
    <definedName name="solver_itr" localSheetId="3" hidden="1">0</definedName>
    <definedName name="solver_itr" localSheetId="4" hidden="1">0</definedName>
    <definedName name="solver_itr" localSheetId="5" hidden="1">0</definedName>
    <definedName name="solver_itr" localSheetId="6" hidden="1">0</definedName>
    <definedName name="solver_itr" localSheetId="7" hidden="1">0</definedName>
    <definedName name="solver_itr" localSheetId="8" hidden="1">0</definedName>
    <definedName name="solver_itr" localSheetId="9" hidden="1">0</definedName>
    <definedName name="solver_lhs1" localSheetId="1" hidden="1">'2020a'!$B$29:$I$29</definedName>
    <definedName name="solver_lhs1" localSheetId="2" hidden="1">'2020b'!$B$29:$I$29</definedName>
    <definedName name="solver_lhs1" localSheetId="3" hidden="1">'2020c'!$B$29:$I$29</definedName>
    <definedName name="solver_lhs1" localSheetId="4" hidden="1">'2021a'!$B$29:$I$29</definedName>
    <definedName name="solver_lhs1" localSheetId="5" hidden="1">'2021b'!$B$29:$I$29</definedName>
    <definedName name="solver_lhs1" localSheetId="6" hidden="1">'2021c'!$B$29:$I$29</definedName>
    <definedName name="solver_lhs1" localSheetId="7" hidden="1">'2022a'!$B$29:$I$29</definedName>
    <definedName name="solver_lhs1" localSheetId="8" hidden="1">'2022b'!$B$29:$I$29</definedName>
    <definedName name="solver_lhs1" localSheetId="9" hidden="1">'2022c'!$B$29:$I$29</definedName>
    <definedName name="solver_lhs2" localSheetId="1" hidden="1">'2020a'!$B$23:$B$27</definedName>
    <definedName name="solver_lhs2" localSheetId="2" hidden="1">'2020b'!$B$23:$B$27</definedName>
    <definedName name="solver_lhs2" localSheetId="3" hidden="1">'2020c'!$B$23:$B$27</definedName>
    <definedName name="solver_lhs2" localSheetId="4" hidden="1">'2021a'!$B$23:$B$27</definedName>
    <definedName name="solver_lhs2" localSheetId="5" hidden="1">'2021b'!$B$23:$B$27</definedName>
    <definedName name="solver_lhs2" localSheetId="6" hidden="1">'2021c'!$B$23:$B$27</definedName>
    <definedName name="solver_lhs2" localSheetId="7" hidden="1">'2022a'!$B$23:$B$27</definedName>
    <definedName name="solver_lhs2" localSheetId="8" hidden="1">'2022b'!$B$23:$B$27</definedName>
    <definedName name="solver_lhs2" localSheetId="9" hidden="1">'2022c'!$B$23:$B$27</definedName>
    <definedName name="solver_lhs3" localSheetId="1" hidden="1">'2020a'!$B$16:$K$19</definedName>
    <definedName name="solver_lhs3" localSheetId="2" hidden="1">'2020b'!$K$15</definedName>
    <definedName name="solver_lhs3" localSheetId="3" hidden="1">'2020c'!$J$15:$K$15</definedName>
    <definedName name="solver_lhs3" localSheetId="4" hidden="1">'2021a'!$B$16:$K$19</definedName>
    <definedName name="solver_lhs3" localSheetId="5" hidden="1">'2021b'!$K$15</definedName>
    <definedName name="solver_lhs3" localSheetId="6" hidden="1">'2021c'!$B$15:$K$15</definedName>
    <definedName name="solver_lhs3" localSheetId="7" hidden="1">'2022a'!$B$16:$K$19</definedName>
    <definedName name="solver_lhs3" localSheetId="8" hidden="1">'2022b'!$K$15</definedName>
    <definedName name="solver_lhs3" localSheetId="9" hidden="1">'2022c'!$B$15:$K$15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7" hidden="1">0</definedName>
    <definedName name="solver_lin" localSheetId="8" hidden="1">0</definedName>
    <definedName name="solver_lin" localSheetId="9" hidden="1">0</definedName>
    <definedName name="solver_mip" localSheetId="1" hidden="1">0</definedName>
    <definedName name="solver_mip" localSheetId="2" hidden="1">0</definedName>
    <definedName name="solver_mip" localSheetId="3" hidden="1">0</definedName>
    <definedName name="solver_mip" localSheetId="4" hidden="1">0</definedName>
    <definedName name="solver_mip" localSheetId="5" hidden="1">0</definedName>
    <definedName name="solver_mip" localSheetId="6" hidden="1">0</definedName>
    <definedName name="solver_mip" localSheetId="7" hidden="1">0</definedName>
    <definedName name="solver_mip" localSheetId="8" hidden="1">0</definedName>
    <definedName name="solver_mip" localSheetId="9" hidden="1">0</definedName>
    <definedName name="solver_msl" localSheetId="1" hidden="1">0</definedName>
    <definedName name="solver_msl" localSheetId="2" hidden="1">0</definedName>
    <definedName name="solver_msl" localSheetId="3" hidden="1">0</definedName>
    <definedName name="solver_msl" localSheetId="4" hidden="1">0</definedName>
    <definedName name="solver_msl" localSheetId="5" hidden="1">0</definedName>
    <definedName name="solver_msl" localSheetId="6" hidden="1">0</definedName>
    <definedName name="solver_msl" localSheetId="7" hidden="1">0</definedName>
    <definedName name="solver_msl" localSheetId="8" hidden="1">0</definedName>
    <definedName name="solver_msl" localSheetId="9" hidden="1">0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od" localSheetId="1" hidden="1">0</definedName>
    <definedName name="solver_nod" localSheetId="2" hidden="1">0</definedName>
    <definedName name="solver_nod" localSheetId="3" hidden="1">0</definedName>
    <definedName name="solver_nod" localSheetId="4" hidden="1">0</definedName>
    <definedName name="solver_nod" localSheetId="5" hidden="1">0</definedName>
    <definedName name="solver_nod" localSheetId="6" hidden="1">0</definedName>
    <definedName name="solver_nod" localSheetId="7" hidden="1">0</definedName>
    <definedName name="solver_nod" localSheetId="8" hidden="1">0</definedName>
    <definedName name="solver_nod" localSheetId="9" hidden="1">0</definedName>
    <definedName name="solver_num" localSheetId="1" hidden="1">3</definedName>
    <definedName name="solver_num" localSheetId="2" hidden="1">3</definedName>
    <definedName name="solver_num" localSheetId="3" hidden="1">3</definedName>
    <definedName name="solver_num" localSheetId="4" hidden="1">3</definedName>
    <definedName name="solver_num" localSheetId="5" hidden="1">3</definedName>
    <definedName name="solver_num" localSheetId="6" hidden="1">3</definedName>
    <definedName name="solver_num" localSheetId="7" hidden="1">3</definedName>
    <definedName name="solver_num" localSheetId="8" hidden="1">3</definedName>
    <definedName name="solver_num" localSheetId="9" hidden="1">3</definedName>
    <definedName name="solver_opt" localSheetId="1" hidden="1">'2020a'!$B$39</definedName>
    <definedName name="solver_opt" localSheetId="2" hidden="1">'2020b'!$B$39</definedName>
    <definedName name="solver_opt" localSheetId="3" hidden="1">'2020c'!$B$39</definedName>
    <definedName name="solver_opt" localSheetId="4" hidden="1">'2021a'!$B$39</definedName>
    <definedName name="solver_opt" localSheetId="5" hidden="1">'2021b'!$B$39</definedName>
    <definedName name="solver_opt" localSheetId="6" hidden="1">'2021c'!$B$39</definedName>
    <definedName name="solver_opt" localSheetId="7" hidden="1">'2022a'!$B$39</definedName>
    <definedName name="solver_opt" localSheetId="8" hidden="1">'2022b'!$B$39</definedName>
    <definedName name="solver_opt" localSheetId="9" hidden="1">'2022c'!$B$39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1</definedName>
    <definedName name="solver_rbv" localSheetId="9" hidden="1">1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1" localSheetId="4" hidden="1">2</definedName>
    <definedName name="solver_rel1" localSheetId="5" hidden="1">2</definedName>
    <definedName name="solver_rel1" localSheetId="6" hidden="1">2</definedName>
    <definedName name="solver_rel1" localSheetId="7" hidden="1">2</definedName>
    <definedName name="solver_rel1" localSheetId="8" hidden="1">2</definedName>
    <definedName name="solver_rel1" localSheetId="9" hidden="1">2</definedName>
    <definedName name="solver_rel2" localSheetId="1" hidden="1">3</definedName>
    <definedName name="solver_rel2" localSheetId="2" hidden="1">3</definedName>
    <definedName name="solver_rel2" localSheetId="3" hidden="1">3</definedName>
    <definedName name="solver_rel2" localSheetId="4" hidden="1">3</definedName>
    <definedName name="solver_rel2" localSheetId="5" hidden="1">3</definedName>
    <definedName name="solver_rel2" localSheetId="6" hidden="1">3</definedName>
    <definedName name="solver_rel2" localSheetId="7" hidden="1">3</definedName>
    <definedName name="solver_rel2" localSheetId="8" hidden="1">3</definedName>
    <definedName name="solver_rel2" localSheetId="9" hidden="1">3</definedName>
    <definedName name="solver_rel3" localSheetId="1" hidden="1">2</definedName>
    <definedName name="solver_rel3" localSheetId="2" hidden="1">3</definedName>
    <definedName name="solver_rel3" localSheetId="3" hidden="1">2</definedName>
    <definedName name="solver_rel3" localSheetId="4" hidden="1">2</definedName>
    <definedName name="solver_rel3" localSheetId="5" hidden="1">3</definedName>
    <definedName name="solver_rel3" localSheetId="6" hidden="1">2</definedName>
    <definedName name="solver_rel3" localSheetId="7" hidden="1">2</definedName>
    <definedName name="solver_rel3" localSheetId="8" hidden="1">3</definedName>
    <definedName name="solver_rel3" localSheetId="9" hidden="1">2</definedName>
    <definedName name="solver_rhs1" localSheetId="1" hidden="1">0</definedName>
    <definedName name="solver_rhs1" localSheetId="2" hidden="1">0</definedName>
    <definedName name="solver_rhs1" localSheetId="3" hidden="1">0</definedName>
    <definedName name="solver_rhs1" localSheetId="4" hidden="1">0</definedName>
    <definedName name="solver_rhs1" localSheetId="5" hidden="1">0</definedName>
    <definedName name="solver_rhs1" localSheetId="6" hidden="1">0</definedName>
    <definedName name="solver_rhs1" localSheetId="7" hidden="1">0</definedName>
    <definedName name="solver_rhs1" localSheetId="8" hidden="1">0</definedName>
    <definedName name="solver_rhs1" localSheetId="9" hidden="1">0</definedName>
    <definedName name="solver_rhs2" localSheetId="1" hidden="1">0</definedName>
    <definedName name="solver_rhs2" localSheetId="2" hidden="1">0</definedName>
    <definedName name="solver_rhs2" localSheetId="3" hidden="1">0</definedName>
    <definedName name="solver_rhs2" localSheetId="4" hidden="1">0</definedName>
    <definedName name="solver_rhs2" localSheetId="5" hidden="1">0</definedName>
    <definedName name="solver_rhs2" localSheetId="6" hidden="1">0</definedName>
    <definedName name="solver_rhs2" localSheetId="7" hidden="1">0</definedName>
    <definedName name="solver_rhs2" localSheetId="8" hidden="1">0</definedName>
    <definedName name="solver_rhs2" localSheetId="9" hidden="1">0</definedName>
    <definedName name="solver_rhs3" localSheetId="1" hidden="1">0</definedName>
    <definedName name="solver_rhs3" localSheetId="2" hidden="1">1</definedName>
    <definedName name="solver_rhs3" localSheetId="3" hidden="1">0</definedName>
    <definedName name="solver_rhs3" localSheetId="4" hidden="1">0</definedName>
    <definedName name="solver_rhs3" localSheetId="5" hidden="1">1</definedName>
    <definedName name="solver_rhs3" localSheetId="6" hidden="1">0</definedName>
    <definedName name="solver_rhs3" localSheetId="7" hidden="1">0</definedName>
    <definedName name="solver_rhs3" localSheetId="8" hidden="1">1</definedName>
    <definedName name="solver_rhs3" localSheetId="9" hidden="1">0</definedName>
    <definedName name="solver_rlx" localSheetId="1" hidden="1">0</definedName>
    <definedName name="solver_rlx" localSheetId="2" hidden="1">0</definedName>
    <definedName name="solver_rlx" localSheetId="3" hidden="1">0</definedName>
    <definedName name="solver_rlx" localSheetId="4" hidden="1">0</definedName>
    <definedName name="solver_rlx" localSheetId="5" hidden="1">0</definedName>
    <definedName name="solver_rlx" localSheetId="6" hidden="1">0</definedName>
    <definedName name="solver_rlx" localSheetId="7" hidden="1">0</definedName>
    <definedName name="solver_rlx" localSheetId="8" hidden="1">0</definedName>
    <definedName name="solver_rlx" localSheetId="9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ho" localSheetId="1" hidden="1">0</definedName>
    <definedName name="solver_sho" localSheetId="2" hidden="1">0</definedName>
    <definedName name="solver_sho" localSheetId="3" hidden="1">0</definedName>
    <definedName name="solver_sho" localSheetId="4" hidden="1">0</definedName>
    <definedName name="solver_sho" localSheetId="5" hidden="1">0</definedName>
    <definedName name="solver_sho" localSheetId="6" hidden="1">0</definedName>
    <definedName name="solver_sho" localSheetId="7" hidden="1">0</definedName>
    <definedName name="solver_sho" localSheetId="8" hidden="1">0</definedName>
    <definedName name="solver_sho" localSheetId="9" hidden="1">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tim" localSheetId="1" hidden="1">0</definedName>
    <definedName name="solver_tim" localSheetId="2" hidden="1">0</definedName>
    <definedName name="solver_tim" localSheetId="3" hidden="1">0</definedName>
    <definedName name="solver_tim" localSheetId="4" hidden="1">0</definedName>
    <definedName name="solver_tim" localSheetId="5" hidden="1">0</definedName>
    <definedName name="solver_tim" localSheetId="6" hidden="1">0</definedName>
    <definedName name="solver_tim" localSheetId="7" hidden="1">0</definedName>
    <definedName name="solver_tim" localSheetId="8" hidden="1">0</definedName>
    <definedName name="solver_tim" localSheetId="9" hidden="1">0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</definedNames>
  <calcPr calcId="181029"/>
</workbook>
</file>

<file path=xl/calcChain.xml><?xml version="1.0" encoding="utf-8"?>
<calcChain xmlns="http://schemas.openxmlformats.org/spreadsheetml/2006/main">
  <c r="C23" i="11" l="1"/>
  <c r="O23" i="11"/>
  <c r="I23" i="11"/>
  <c r="B32" i="10"/>
  <c r="I29" i="10"/>
  <c r="H29" i="10"/>
  <c r="G29" i="10"/>
  <c r="F29" i="10"/>
  <c r="E29" i="10"/>
  <c r="D29" i="10"/>
  <c r="C29" i="10"/>
  <c r="B29" i="10"/>
  <c r="B26" i="10"/>
  <c r="B23" i="10"/>
  <c r="L19" i="10"/>
  <c r="B27" i="10" s="1"/>
  <c r="L18" i="10"/>
  <c r="L17" i="10"/>
  <c r="B25" i="10" s="1"/>
  <c r="L16" i="10"/>
  <c r="B24" i="10" s="1"/>
  <c r="L15" i="10"/>
  <c r="B33" i="10" s="1"/>
  <c r="B32" i="9"/>
  <c r="I29" i="9"/>
  <c r="H29" i="9"/>
  <c r="G29" i="9"/>
  <c r="F29" i="9"/>
  <c r="E29" i="9"/>
  <c r="D29" i="9"/>
  <c r="C29" i="9"/>
  <c r="B29" i="9"/>
  <c r="B27" i="9"/>
  <c r="B25" i="9"/>
  <c r="L19" i="9"/>
  <c r="L18" i="9"/>
  <c r="B26" i="9" s="1"/>
  <c r="L17" i="9"/>
  <c r="L16" i="9"/>
  <c r="B24" i="9" s="1"/>
  <c r="L15" i="9"/>
  <c r="B23" i="9" s="1"/>
  <c r="B34" i="8"/>
  <c r="B32" i="8"/>
  <c r="I29" i="8"/>
  <c r="H29" i="8"/>
  <c r="G29" i="8"/>
  <c r="F29" i="8"/>
  <c r="E29" i="8"/>
  <c r="D29" i="8"/>
  <c r="C29" i="8"/>
  <c r="B29" i="8"/>
  <c r="B27" i="8"/>
  <c r="B26" i="8"/>
  <c r="B24" i="8"/>
  <c r="R19" i="8"/>
  <c r="S19" i="8" s="1"/>
  <c r="T19" i="8" s="1"/>
  <c r="L19" i="8"/>
  <c r="T18" i="8"/>
  <c r="S18" i="8"/>
  <c r="R18" i="8"/>
  <c r="L18" i="8"/>
  <c r="R17" i="8"/>
  <c r="S17" i="8" s="1"/>
  <c r="T17" i="8" s="1"/>
  <c r="L17" i="8"/>
  <c r="B25" i="8" s="1"/>
  <c r="R16" i="8"/>
  <c r="S16" i="8" s="1"/>
  <c r="T16" i="8" s="1"/>
  <c r="L16" i="8"/>
  <c r="T15" i="8"/>
  <c r="S15" i="8"/>
  <c r="R15" i="8"/>
  <c r="L15" i="8"/>
  <c r="B23" i="8" s="1"/>
  <c r="R14" i="8"/>
  <c r="S14" i="8" s="1"/>
  <c r="T14" i="8" s="1"/>
  <c r="R13" i="8"/>
  <c r="S13" i="8" s="1"/>
  <c r="T13" i="8" s="1"/>
  <c r="R12" i="8"/>
  <c r="S12" i="8" s="1"/>
  <c r="T12" i="8" s="1"/>
  <c r="B32" i="6"/>
  <c r="I29" i="6"/>
  <c r="H29" i="6"/>
  <c r="G29" i="6"/>
  <c r="F29" i="6"/>
  <c r="E29" i="6"/>
  <c r="D29" i="6"/>
  <c r="C29" i="6"/>
  <c r="B29" i="6"/>
  <c r="B26" i="6"/>
  <c r="B25" i="6"/>
  <c r="B23" i="6"/>
  <c r="L19" i="6"/>
  <c r="B27" i="6" s="1"/>
  <c r="L18" i="6"/>
  <c r="L17" i="6"/>
  <c r="L16" i="6"/>
  <c r="B35" i="6" s="1"/>
  <c r="L15" i="6"/>
  <c r="B32" i="7"/>
  <c r="I29" i="7"/>
  <c r="H29" i="7"/>
  <c r="G29" i="7"/>
  <c r="F29" i="7"/>
  <c r="E29" i="7"/>
  <c r="D29" i="7"/>
  <c r="C29" i="7"/>
  <c r="B29" i="7"/>
  <c r="B25" i="7"/>
  <c r="B24" i="7"/>
  <c r="L19" i="7"/>
  <c r="B27" i="7" s="1"/>
  <c r="L18" i="7"/>
  <c r="B26" i="7" s="1"/>
  <c r="L17" i="7"/>
  <c r="L16" i="7"/>
  <c r="L15" i="7"/>
  <c r="B35" i="7" s="1"/>
  <c r="B32" i="5"/>
  <c r="I29" i="5"/>
  <c r="H29" i="5"/>
  <c r="G29" i="5"/>
  <c r="F29" i="5"/>
  <c r="E29" i="5"/>
  <c r="D29" i="5"/>
  <c r="C29" i="5"/>
  <c r="B29" i="5"/>
  <c r="B27" i="5"/>
  <c r="B25" i="5"/>
  <c r="B24" i="5"/>
  <c r="B23" i="5"/>
  <c r="L19" i="5"/>
  <c r="L18" i="5"/>
  <c r="B26" i="5" s="1"/>
  <c r="L17" i="5"/>
  <c r="R16" i="5"/>
  <c r="S16" i="5" s="1"/>
  <c r="T16" i="5" s="1"/>
  <c r="L16" i="5"/>
  <c r="R15" i="5"/>
  <c r="S15" i="5" s="1"/>
  <c r="T15" i="5" s="1"/>
  <c r="L15" i="5"/>
  <c r="B34" i="5" s="1"/>
  <c r="R14" i="5"/>
  <c r="S14" i="5" s="1"/>
  <c r="T14" i="5" s="1"/>
  <c r="R13" i="5"/>
  <c r="S13" i="5" s="1"/>
  <c r="T13" i="5" s="1"/>
  <c r="R12" i="5"/>
  <c r="S12" i="5" s="1"/>
  <c r="T12" i="5" s="1"/>
  <c r="R11" i="5"/>
  <c r="S11" i="5" s="1"/>
  <c r="T11" i="5" s="1"/>
  <c r="R10" i="5"/>
  <c r="S10" i="5" s="1"/>
  <c r="T10" i="5" s="1"/>
  <c r="R9" i="5"/>
  <c r="S9" i="5" s="1"/>
  <c r="T9" i="5" s="1"/>
  <c r="B32" i="4"/>
  <c r="I29" i="4"/>
  <c r="H29" i="4"/>
  <c r="G29" i="4"/>
  <c r="F29" i="4"/>
  <c r="E29" i="4"/>
  <c r="D29" i="4"/>
  <c r="C29" i="4"/>
  <c r="B29" i="4"/>
  <c r="B26" i="4"/>
  <c r="B24" i="4"/>
  <c r="B23" i="4"/>
  <c r="L19" i="4"/>
  <c r="B27" i="4" s="1"/>
  <c r="L18" i="4"/>
  <c r="L17" i="4"/>
  <c r="B25" i="4" s="1"/>
  <c r="L16" i="4"/>
  <c r="L15" i="4"/>
  <c r="B33" i="4" s="1"/>
  <c r="B33" i="3"/>
  <c r="B32" i="3"/>
  <c r="I29" i="3"/>
  <c r="H29" i="3"/>
  <c r="G29" i="3"/>
  <c r="F29" i="3"/>
  <c r="E29" i="3"/>
  <c r="D29" i="3"/>
  <c r="C29" i="3"/>
  <c r="B29" i="3"/>
  <c r="B27" i="3"/>
  <c r="B25" i="3"/>
  <c r="L19" i="3"/>
  <c r="L18" i="3"/>
  <c r="B26" i="3" s="1"/>
  <c r="L17" i="3"/>
  <c r="L16" i="3"/>
  <c r="B24" i="3" s="1"/>
  <c r="L15" i="3"/>
  <c r="B23" i="3" s="1"/>
  <c r="B32" i="2"/>
  <c r="I29" i="2"/>
  <c r="H29" i="2"/>
  <c r="G29" i="2"/>
  <c r="F29" i="2"/>
  <c r="E29" i="2"/>
  <c r="D29" i="2"/>
  <c r="C29" i="2"/>
  <c r="B29" i="2"/>
  <c r="B23" i="2"/>
  <c r="L19" i="2"/>
  <c r="L18" i="2"/>
  <c r="L17" i="2"/>
  <c r="B34" i="2" s="1"/>
  <c r="R16" i="2"/>
  <c r="S16" i="2" s="1"/>
  <c r="T16" i="2" s="1"/>
  <c r="L16" i="2"/>
  <c r="B35" i="2" s="1"/>
  <c r="S15" i="2"/>
  <c r="T15" i="2" s="1"/>
  <c r="R15" i="2"/>
  <c r="L15" i="2"/>
  <c r="B33" i="2" s="1"/>
  <c r="S14" i="2"/>
  <c r="T14" i="2" s="1"/>
  <c r="R14" i="2"/>
  <c r="R13" i="2"/>
  <c r="S13" i="2" s="1"/>
  <c r="T13" i="2" s="1"/>
  <c r="S12" i="2"/>
  <c r="T12" i="2" s="1"/>
  <c r="R12" i="2"/>
  <c r="R11" i="2"/>
  <c r="S11" i="2" s="1"/>
  <c r="T11" i="2" s="1"/>
  <c r="S10" i="2"/>
  <c r="T10" i="2" s="1"/>
  <c r="R10" i="2"/>
  <c r="R9" i="2"/>
  <c r="S9" i="2" s="1"/>
  <c r="T9" i="2" s="1"/>
  <c r="B37" i="1"/>
  <c r="B35" i="1"/>
  <c r="B41" i="1" s="1"/>
  <c r="B34" i="1"/>
  <c r="I31" i="1"/>
  <c r="H31" i="1"/>
  <c r="G31" i="1"/>
  <c r="F31" i="1"/>
  <c r="E31" i="1"/>
  <c r="D31" i="1"/>
  <c r="C31" i="1"/>
  <c r="B31" i="1"/>
  <c r="B25" i="1"/>
  <c r="L17" i="1"/>
  <c r="B36" i="1" s="1"/>
  <c r="R13" i="1"/>
  <c r="Q13" i="1"/>
  <c r="P13" i="1"/>
  <c r="Q12" i="1"/>
  <c r="R12" i="1" s="1"/>
  <c r="P12" i="1"/>
  <c r="R11" i="1"/>
  <c r="Q11" i="1"/>
  <c r="P11" i="1"/>
  <c r="Q10" i="1"/>
  <c r="R10" i="1" s="1"/>
  <c r="P10" i="1"/>
  <c r="R9" i="1"/>
  <c r="Q9" i="1"/>
  <c r="P9" i="1"/>
  <c r="Q8" i="1"/>
  <c r="R8" i="1" s="1"/>
  <c r="P8" i="1"/>
  <c r="R7" i="1"/>
  <c r="Q7" i="1"/>
  <c r="P7" i="1"/>
  <c r="Q6" i="1"/>
  <c r="R6" i="1" s="1"/>
  <c r="P6" i="1"/>
  <c r="B39" i="2" l="1"/>
  <c r="C5" i="12" s="1"/>
  <c r="B39" i="4"/>
  <c r="K5" i="12" s="1"/>
  <c r="B39" i="10"/>
  <c r="K9" i="12" s="1"/>
  <c r="B35" i="5"/>
  <c r="B33" i="9"/>
  <c r="B39" i="9" s="1"/>
  <c r="G9" i="12" s="1"/>
  <c r="B34" i="10"/>
  <c r="B34" i="3"/>
  <c r="B35" i="4"/>
  <c r="B23" i="7"/>
  <c r="B24" i="6"/>
  <c r="B33" i="8"/>
  <c r="B39" i="8" s="1"/>
  <c r="C9" i="12" s="1"/>
  <c r="B34" i="9"/>
  <c r="B35" i="10"/>
  <c r="B33" i="6"/>
  <c r="B39" i="6" s="1"/>
  <c r="K7" i="12" s="1"/>
  <c r="B35" i="9"/>
  <c r="B35" i="3"/>
  <c r="B39" i="3" s="1"/>
  <c r="G5" i="12" s="1"/>
  <c r="B33" i="7"/>
  <c r="B39" i="7" s="1"/>
  <c r="G7" i="12" s="1"/>
  <c r="B34" i="6"/>
  <c r="B35" i="8"/>
  <c r="B34" i="4"/>
  <c r="B33" i="5"/>
  <c r="B39" i="5" s="1"/>
  <c r="C7" i="12" s="1"/>
  <c r="B34" i="7"/>
  <c r="G11" i="12" l="1"/>
  <c r="K11" i="12"/>
  <c r="C11" i="12"/>
</calcChain>
</file>

<file path=xl/sharedStrings.xml><?xml version="1.0" encoding="utf-8"?>
<sst xmlns="http://schemas.openxmlformats.org/spreadsheetml/2006/main" count="754" uniqueCount="53">
  <si>
    <t>Network Design for MiniToys.com</t>
  </si>
  <si>
    <t>Australia Post Charges per Shipment (in $)</t>
  </si>
  <si>
    <r>
      <rPr>
        <b/>
        <i/>
        <sz val="10"/>
        <rFont val="Arial"/>
        <family val="2"/>
      </rPr>
      <t>Demand Region</t>
    </r>
    <r>
      <rPr>
        <i/>
        <sz val="10"/>
        <rFont val="Arial"/>
        <family val="2"/>
      </rPr>
      <t xml:space="preserve">
Cost Per shipment from Aus Post</t>
    </r>
  </si>
  <si>
    <t>Small Warehouse Fixed Cost ($ per year)</t>
  </si>
  <si>
    <t xml:space="preserve"> Warehouse Variable cost ($ per order)</t>
  </si>
  <si>
    <t>Large Warehouse Fixed Cost ($ per year)</t>
  </si>
  <si>
    <t>Customerzone</t>
  </si>
  <si>
    <t>Dmand in 2019</t>
  </si>
  <si>
    <t>Supply Region</t>
  </si>
  <si>
    <t xml:space="preserve">NSW </t>
  </si>
  <si>
    <t>QLD</t>
  </si>
  <si>
    <t>NT</t>
  </si>
  <si>
    <t>WA</t>
  </si>
  <si>
    <t>SA</t>
  </si>
  <si>
    <t>VIC</t>
  </si>
  <si>
    <t>TAS</t>
  </si>
  <si>
    <t>ACT</t>
  </si>
  <si>
    <t>Melbourne</t>
  </si>
  <si>
    <t>NSW</t>
  </si>
  <si>
    <t>Sydney</t>
  </si>
  <si>
    <t>Brisbane</t>
  </si>
  <si>
    <t>Adelaide</t>
  </si>
  <si>
    <t>Perth</t>
  </si>
  <si>
    <t>Demand</t>
  </si>
  <si>
    <t>Capacity</t>
  </si>
  <si>
    <t>Decision Variables</t>
  </si>
  <si>
    <t>Demand Region - Products shipped</t>
  </si>
  <si>
    <t>Small  Warehouse</t>
  </si>
  <si>
    <t>Large Warehouse</t>
  </si>
  <si>
    <t>Total orders shipped</t>
  </si>
  <si>
    <t>(1=open)</t>
  </si>
  <si>
    <t>Constraints</t>
  </si>
  <si>
    <t>Excess Capacity</t>
  </si>
  <si>
    <t>Unmet Demand</t>
  </si>
  <si>
    <t xml:space="preserve">Operating, Fixed and shipping cost </t>
  </si>
  <si>
    <t>Fixed Cost =</t>
  </si>
  <si>
    <t>Shipping Cost =</t>
  </si>
  <si>
    <t xml:space="preserve">Order processing Cost </t>
  </si>
  <si>
    <t xml:space="preserve">Order Handling Cost </t>
  </si>
  <si>
    <t xml:space="preserve">Total Cost </t>
  </si>
  <si>
    <t>ALL IN MELBOURNE</t>
  </si>
  <si>
    <t>ONE LAGE IN MELBOURNE</t>
  </si>
  <si>
    <t>NONE IN MELBOURNE</t>
  </si>
  <si>
    <t>Total cost</t>
  </si>
  <si>
    <t>W/H Configuration</t>
  </si>
  <si>
    <t>MEL</t>
  </si>
  <si>
    <t>SYD</t>
  </si>
  <si>
    <t>BRI</t>
  </si>
  <si>
    <t>ADE</t>
  </si>
  <si>
    <t>PER</t>
  </si>
  <si>
    <t>3 YEARS TOTAL</t>
  </si>
  <si>
    <t>3-Year Total</t>
  </si>
  <si>
    <t>Change shipping cost in the other sheets to get the Total Cost of the 3 scenarios as well as the 3-Year Total Cost.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</si>
</sst>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$#,##0_);[Red]\(\$#,##0\)"/>
    <numFmt numFmtId="165" formatCode="_ &quot;￥&quot;* #,##0.00_ ;_ &quot;￥&quot;* \-#,##0.00_ ;_ &quot;￥&quot;* &quot;-&quot;??_ ;_ @_ "/>
    <numFmt numFmtId="169" formatCode="_(* #,##0_);_(* \(#,##0\);_(* &quot;-&quot;??_);_(@_)"/>
    <numFmt numFmtId="170" formatCode="_(* #,##0.00_);_(* \(#,##0.00\);_(* &quot;-&quot;??_);_(@_)"/>
    <numFmt numFmtId="171" formatCode="_-&quot;$&quot;* #,##0_-;\-&quot;$&quot;* #,##0_-;_-&quot;$&quot;* &quot;-&quot;??_-;_-@_-"/>
    <numFmt numFmtId="173" formatCode="_-&quot;$&quot;* #,##0.00_-;\-&quot;$&quot;* #,##0.00_-;_-&quot;$&quot;* &quot;-&quot;??_-;_-@_-"/>
    <numFmt numFmtId="174" formatCode="\$#,##0.0_);[Red]\(\$#,##0.0\)"/>
    <numFmt numFmtId="175" formatCode="\$#,##0.00_);[Red]\(\$#,##0.00\)"/>
    <numFmt numFmtId="177" formatCode="\$#,##0.00"/>
  </numFmts>
  <fonts count="2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b/>
      <sz val="10"/>
      <color indexed="61"/>
      <name val="Arial"/>
      <family val="2"/>
    </font>
    <font>
      <b/>
      <sz val="10"/>
      <color theme="1"/>
      <name val="Arial"/>
      <family val="2"/>
    </font>
    <font>
      <b/>
      <sz val="10"/>
      <color indexed="14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b/>
      <sz val="10"/>
      <color indexed="2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sz val="10"/>
      <color theme="1"/>
      <name val="Calibri"/>
      <charset val="134"/>
      <scheme val="minor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165" fontId="20" fillId="0" borderId="0" applyFont="0" applyFill="0" applyBorder="0" applyAlignment="0" applyProtection="0">
      <alignment vertical="center"/>
    </xf>
    <xf numFmtId="170" fontId="3" fillId="0" borderId="0" applyFont="0" applyFill="0" applyBorder="0" applyAlignment="0" applyProtection="0"/>
  </cellStyleXfs>
  <cellXfs count="1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4" fillId="0" borderId="7" xfId="0" applyFont="1" applyFill="1" applyBorder="1" applyAlignment="1"/>
    <xf numFmtId="0" fontId="5" fillId="0" borderId="1" xfId="0" applyFont="1" applyFill="1" applyBorder="1" applyAlignment="1"/>
    <xf numFmtId="0" fontId="6" fillId="0" borderId="8" xfId="0" applyFont="1" applyFill="1" applyBorder="1" applyAlignment="1"/>
    <xf numFmtId="169" fontId="7" fillId="4" borderId="9" xfId="2" applyNumberFormat="1" applyFont="1" applyFill="1" applyBorder="1"/>
    <xf numFmtId="169" fontId="7" fillId="4" borderId="3" xfId="2" applyNumberFormat="1" applyFont="1" applyFill="1" applyBorder="1"/>
    <xf numFmtId="0" fontId="6" fillId="0" borderId="10" xfId="0" applyFont="1" applyFill="1" applyBorder="1" applyAlignment="1"/>
    <xf numFmtId="169" fontId="7" fillId="4" borderId="11" xfId="2" applyNumberFormat="1" applyFont="1" applyFill="1" applyBorder="1"/>
    <xf numFmtId="169" fontId="7" fillId="4" borderId="0" xfId="2" applyNumberFormat="1" applyFont="1" applyFill="1" applyBorder="1"/>
    <xf numFmtId="0" fontId="6" fillId="0" borderId="12" xfId="0" applyFont="1" applyFill="1" applyBorder="1" applyAlignment="1"/>
    <xf numFmtId="169" fontId="7" fillId="4" borderId="13" xfId="2" applyNumberFormat="1" applyFont="1" applyFill="1" applyBorder="1"/>
    <xf numFmtId="169" fontId="7" fillId="4" borderId="14" xfId="2" applyNumberFormat="1" applyFont="1" applyFill="1" applyBorder="1"/>
    <xf numFmtId="0" fontId="4" fillId="0" borderId="12" xfId="0" applyFont="1" applyFill="1" applyBorder="1" applyAlignment="1"/>
    <xf numFmtId="0" fontId="8" fillId="0" borderId="13" xfId="0" applyFont="1" applyFill="1" applyBorder="1" applyAlignment="1"/>
    <xf numFmtId="0" fontId="8" fillId="0" borderId="14" xfId="0" applyFont="1" applyFill="1" applyBorder="1" applyAlignment="1"/>
    <xf numFmtId="0" fontId="3" fillId="0" borderId="15" xfId="0" applyFont="1" applyFill="1" applyBorder="1" applyAlignment="1"/>
    <xf numFmtId="1" fontId="9" fillId="5" borderId="9" xfId="0" applyNumberFormat="1" applyFont="1" applyFill="1" applyBorder="1" applyAlignment="1"/>
    <xf numFmtId="1" fontId="9" fillId="5" borderId="3" xfId="0" applyNumberFormat="1" applyFont="1" applyFill="1" applyBorder="1" applyAlignment="1"/>
    <xf numFmtId="1" fontId="9" fillId="5" borderId="11" xfId="0" applyNumberFormat="1" applyFont="1" applyFill="1" applyBorder="1" applyAlignment="1"/>
    <xf numFmtId="1" fontId="9" fillId="5" borderId="0" xfId="0" applyNumberFormat="1" applyFont="1" applyFill="1" applyBorder="1" applyAlignment="1"/>
    <xf numFmtId="1" fontId="9" fillId="5" borderId="13" xfId="0" applyNumberFormat="1" applyFont="1" applyFill="1" applyBorder="1" applyAlignment="1"/>
    <xf numFmtId="1" fontId="9" fillId="5" borderId="14" xfId="0" applyNumberFormat="1" applyFont="1" applyFill="1" applyBorder="1" applyAlignment="1"/>
    <xf numFmtId="0" fontId="2" fillId="0" borderId="14" xfId="0" applyFont="1" applyFill="1" applyBorder="1" applyAlignment="1"/>
    <xf numFmtId="0" fontId="10" fillId="0" borderId="0" xfId="0" applyFont="1" applyFill="1" applyBorder="1" applyAlignment="1"/>
    <xf numFmtId="0" fontId="4" fillId="0" borderId="16" xfId="0" applyFont="1" applyFill="1" applyBorder="1" applyAlignment="1"/>
    <xf numFmtId="0" fontId="4" fillId="0" borderId="5" xfId="0" applyFont="1" applyFill="1" applyBorder="1" applyAlignment="1"/>
    <xf numFmtId="0" fontId="3" fillId="0" borderId="6" xfId="0" applyFont="1" applyFill="1" applyBorder="1" applyAlignment="1"/>
    <xf numFmtId="1" fontId="3" fillId="3" borderId="9" xfId="0" applyNumberFormat="1" applyFont="1" applyFill="1" applyBorder="1" applyAlignment="1"/>
    <xf numFmtId="1" fontId="3" fillId="3" borderId="11" xfId="0" applyNumberFormat="1" applyFont="1" applyFill="1" applyBorder="1" applyAlignment="1"/>
    <xf numFmtId="1" fontId="3" fillId="3" borderId="13" xfId="0" applyNumberFormat="1" applyFont="1" applyFill="1" applyBorder="1" applyAlignment="1"/>
    <xf numFmtId="0" fontId="3" fillId="0" borderId="14" xfId="0" applyFont="1" applyFill="1" applyBorder="1" applyAlignment="1"/>
    <xf numFmtId="0" fontId="3" fillId="0" borderId="10" xfId="0" applyFont="1" applyFill="1" applyBorder="1" applyAlignment="1"/>
    <xf numFmtId="0" fontId="8" fillId="3" borderId="13" xfId="0" applyFont="1" applyFill="1" applyBorder="1" applyAlignment="1"/>
    <xf numFmtId="0" fontId="4" fillId="0" borderId="17" xfId="0" applyFont="1" applyFill="1" applyBorder="1" applyAlignment="1"/>
    <xf numFmtId="171" fontId="3" fillId="3" borderId="18" xfId="1" applyNumberFormat="1" applyFont="1" applyFill="1" applyBorder="1" applyAlignment="1"/>
    <xf numFmtId="0" fontId="4" fillId="0" borderId="10" xfId="0" applyFont="1" applyFill="1" applyBorder="1" applyAlignment="1"/>
    <xf numFmtId="171" fontId="3" fillId="3" borderId="19" xfId="1" applyNumberFormat="1" applyFont="1" applyFill="1" applyBorder="1" applyAlignment="1"/>
    <xf numFmtId="171" fontId="3" fillId="3" borderId="20" xfId="1" applyNumberFormat="1" applyFont="1" applyFill="1" applyBorder="1" applyAlignment="1"/>
    <xf numFmtId="0" fontId="4" fillId="6" borderId="21" xfId="0" applyFont="1" applyFill="1" applyBorder="1" applyAlignment="1"/>
    <xf numFmtId="0" fontId="3" fillId="0" borderId="25" xfId="0" applyFont="1" applyFill="1" applyBorder="1" applyAlignment="1">
      <alignment horizontal="right"/>
    </xf>
    <xf numFmtId="169" fontId="12" fillId="4" borderId="2" xfId="2" applyNumberFormat="1" applyFont="1" applyFill="1" applyBorder="1"/>
    <xf numFmtId="0" fontId="13" fillId="4" borderId="3" xfId="0" applyFont="1" applyFill="1" applyBorder="1" applyAlignment="1"/>
    <xf numFmtId="169" fontId="12" fillId="4" borderId="26" xfId="2" applyNumberFormat="1" applyFont="1" applyFill="1" applyBorder="1"/>
    <xf numFmtId="169" fontId="12" fillId="4" borderId="27" xfId="2" applyNumberFormat="1" applyFont="1" applyFill="1" applyBorder="1"/>
    <xf numFmtId="0" fontId="13" fillId="4" borderId="0" xfId="0" applyFont="1" applyFill="1" applyBorder="1" applyAlignment="1"/>
    <xf numFmtId="169" fontId="12" fillId="4" borderId="28" xfId="2" applyNumberFormat="1" applyFont="1" applyFill="1" applyBorder="1"/>
    <xf numFmtId="169" fontId="12" fillId="4" borderId="29" xfId="2" applyNumberFormat="1" applyFont="1" applyFill="1" applyBorder="1"/>
    <xf numFmtId="0" fontId="13" fillId="4" borderId="14" xfId="0" applyFont="1" applyFill="1" applyBorder="1" applyAlignment="1"/>
    <xf numFmtId="169" fontId="12" fillId="4" borderId="30" xfId="2" applyNumberFormat="1" applyFont="1" applyFill="1" applyBorder="1"/>
    <xf numFmtId="0" fontId="3" fillId="0" borderId="31" xfId="0" applyFont="1" applyFill="1" applyBorder="1" applyAlignment="1"/>
    <xf numFmtId="0" fontId="3" fillId="4" borderId="32" xfId="0" applyFont="1" applyFill="1" applyBorder="1" applyAlignment="1"/>
    <xf numFmtId="0" fontId="14" fillId="0" borderId="18" xfId="0" applyFont="1" applyFill="1" applyBorder="1" applyAlignment="1">
      <alignment horizontal="right" wrapText="1"/>
    </xf>
    <xf numFmtId="0" fontId="15" fillId="0" borderId="18" xfId="0" applyFont="1" applyFill="1" applyBorder="1" applyAlignment="1">
      <alignment horizontal="right" wrapText="1"/>
    </xf>
    <xf numFmtId="0" fontId="16" fillId="0" borderId="33" xfId="0" applyFont="1" applyFill="1" applyBorder="1" applyAlignment="1">
      <alignment horizontal="right" wrapText="1"/>
    </xf>
    <xf numFmtId="0" fontId="17" fillId="0" borderId="34" xfId="0" applyFont="1" applyFill="1" applyBorder="1" applyAlignment="1">
      <alignment horizontal="right"/>
    </xf>
    <xf numFmtId="1" fontId="9" fillId="5" borderId="35" xfId="0" applyNumberFormat="1" applyFont="1" applyFill="1" applyBorder="1" applyAlignment="1"/>
    <xf numFmtId="1" fontId="12" fillId="5" borderId="36" xfId="0" applyNumberFormat="1" applyFont="1" applyFill="1" applyBorder="1" applyAlignment="1">
      <alignment horizontal="right"/>
    </xf>
    <xf numFmtId="1" fontId="12" fillId="5" borderId="37" xfId="0" applyNumberFormat="1" applyFont="1" applyFill="1" applyBorder="1" applyAlignment="1">
      <alignment horizontal="right"/>
    </xf>
    <xf numFmtId="1" fontId="17" fillId="5" borderId="38" xfId="0" applyNumberFormat="1" applyFont="1" applyFill="1" applyBorder="1" applyAlignment="1"/>
    <xf numFmtId="1" fontId="9" fillId="5" borderId="39" xfId="0" applyNumberFormat="1" applyFont="1" applyFill="1" applyBorder="1" applyAlignment="1"/>
    <xf numFmtId="1" fontId="12" fillId="5" borderId="40" xfId="0" applyNumberFormat="1" applyFont="1" applyFill="1" applyBorder="1" applyAlignment="1">
      <alignment horizontal="right"/>
    </xf>
    <xf numFmtId="1" fontId="12" fillId="5" borderId="19" xfId="0" applyNumberFormat="1" applyFont="1" applyFill="1" applyBorder="1" applyAlignment="1">
      <alignment horizontal="right"/>
    </xf>
    <xf numFmtId="1" fontId="9" fillId="5" borderId="41" xfId="0" applyNumberFormat="1" applyFont="1" applyFill="1" applyBorder="1" applyAlignment="1"/>
    <xf numFmtId="1" fontId="12" fillId="5" borderId="42" xfId="0" applyNumberFormat="1" applyFont="1" applyFill="1" applyBorder="1" applyAlignment="1">
      <alignment horizontal="right"/>
    </xf>
    <xf numFmtId="1" fontId="12" fillId="5" borderId="20" xfId="0" applyNumberFormat="1" applyFont="1" applyFill="1" applyBorder="1" applyAlignment="1">
      <alignment horizontal="right"/>
    </xf>
    <xf numFmtId="0" fontId="3" fillId="0" borderId="43" xfId="0" applyFont="1" applyFill="1" applyBorder="1" applyAlignment="1"/>
    <xf numFmtId="0" fontId="3" fillId="0" borderId="40" xfId="0" applyFont="1" applyFill="1" applyBorder="1" applyAlignment="1"/>
    <xf numFmtId="0" fontId="3" fillId="0" borderId="42" xfId="0" applyFont="1" applyFill="1" applyBorder="1" applyAlignment="1"/>
    <xf numFmtId="0" fontId="5" fillId="0" borderId="44" xfId="0" applyFont="1" applyFill="1" applyBorder="1" applyAlignment="1"/>
    <xf numFmtId="0" fontId="0" fillId="0" borderId="1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35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39" xfId="0" applyBorder="1">
      <alignment vertical="center"/>
    </xf>
    <xf numFmtId="0" fontId="0" fillId="0" borderId="45" xfId="0" applyBorder="1">
      <alignment vertical="center"/>
    </xf>
    <xf numFmtId="0" fontId="18" fillId="0" borderId="0" xfId="0" applyFont="1">
      <alignment vertical="center"/>
    </xf>
    <xf numFmtId="0" fontId="19" fillId="0" borderId="0" xfId="0" applyFont="1" applyFill="1" applyBorder="1" applyAlignment="1"/>
    <xf numFmtId="1" fontId="17" fillId="5" borderId="32" xfId="0" applyNumberFormat="1" applyFont="1" applyFill="1" applyBorder="1" applyAlignment="1"/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right" wrapText="1"/>
    </xf>
    <xf numFmtId="0" fontId="3" fillId="0" borderId="24" xfId="0" applyFont="1" applyFill="1" applyBorder="1" applyAlignment="1">
      <alignment horizontal="right"/>
    </xf>
    <xf numFmtId="0" fontId="11" fillId="0" borderId="23" xfId="0" applyFont="1" applyFill="1" applyBorder="1" applyAlignment="1">
      <alignment horizontal="right" wrapText="1"/>
    </xf>
    <xf numFmtId="0" fontId="3" fillId="0" borderId="2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 wrapText="1"/>
    </xf>
    <xf numFmtId="0" fontId="3" fillId="0" borderId="16" xfId="0" applyFont="1" applyFill="1" applyBorder="1" applyAlignment="1">
      <alignment horizontal="right"/>
    </xf>
    <xf numFmtId="0" fontId="1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164" fontId="0" fillId="0" borderId="0" xfId="0" applyNumberFormat="1">
      <alignment vertical="center"/>
    </xf>
    <xf numFmtId="171" fontId="0" fillId="0" borderId="0" xfId="0" applyNumberFormat="1">
      <alignment vertical="center"/>
    </xf>
    <xf numFmtId="173" fontId="0" fillId="0" borderId="0" xfId="0" applyNumberFormat="1">
      <alignment vertical="center"/>
    </xf>
    <xf numFmtId="173" fontId="0" fillId="3" borderId="0" xfId="0" applyNumberFormat="1" applyFill="1">
      <alignment vertical="center"/>
    </xf>
    <xf numFmtId="175" fontId="0" fillId="2" borderId="0" xfId="0" applyNumberForma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77" fontId="0" fillId="2" borderId="0" xfId="0" applyNumberFormat="1" applyFill="1" applyAlignment="1">
      <alignment horizontal="center" vertical="center"/>
    </xf>
    <xf numFmtId="174" fontId="0" fillId="0" borderId="0" xfId="0" applyNumberFormat="1">
      <alignment vertical="center"/>
    </xf>
    <xf numFmtId="169" fontId="7" fillId="4" borderId="1" xfId="2" applyNumberFormat="1" applyFont="1" applyFill="1" applyBorder="1"/>
    <xf numFmtId="169" fontId="7" fillId="4" borderId="2" xfId="2" applyNumberFormat="1" applyFont="1" applyFill="1" applyBorder="1"/>
    <xf numFmtId="0" fontId="8" fillId="0" borderId="46" xfId="0" applyFont="1" applyFill="1" applyBorder="1" applyAlignment="1"/>
    <xf numFmtId="0" fontId="8" fillId="0" borderId="47" xfId="0" applyFont="1" applyFill="1" applyBorder="1" applyAlignment="1"/>
    <xf numFmtId="0" fontId="8" fillId="0" borderId="48" xfId="0" applyFont="1" applyFill="1" applyBorder="1" applyAlignment="1"/>
    <xf numFmtId="0" fontId="21" fillId="7" borderId="0" xfId="0" applyFont="1" applyFill="1" applyAlignment="1">
      <alignment horizontal="center" vertical="center" wrapText="1"/>
    </xf>
  </cellXfs>
  <cellStyles count="3">
    <cellStyle name="Comma_ch5_SunOil" xfId="2" xr:uid="{00000000-0005-0000-0000-000031000000}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7FD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workbookViewId="0">
      <selection activeCell="B6" sqref="B6:I10"/>
    </sheetView>
  </sheetViews>
  <sheetFormatPr defaultColWidth="9" defaultRowHeight="15"/>
  <cols>
    <col min="1" max="1" width="24.140625" customWidth="1"/>
    <col min="2" max="2" width="15.5703125" bestFit="1" customWidth="1"/>
    <col min="4" max="4" width="10" bestFit="1" customWidth="1"/>
    <col min="13" max="13" width="6.140625" customWidth="1"/>
    <col min="14" max="14" width="11" customWidth="1"/>
    <col min="15" max="15" width="12.42578125" customWidth="1"/>
    <col min="18" max="18" width="9.42578125"/>
  </cols>
  <sheetData>
    <row r="1" spans="1:19" ht="2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9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9">
      <c r="A4" s="10"/>
      <c r="B4" s="90" t="s">
        <v>2</v>
      </c>
      <c r="C4" s="91"/>
      <c r="D4" s="91"/>
      <c r="E4" s="91"/>
      <c r="F4" s="91"/>
      <c r="G4" s="91"/>
      <c r="H4" s="91"/>
      <c r="I4" s="91"/>
      <c r="J4" s="92" t="s">
        <v>3</v>
      </c>
      <c r="K4" s="94" t="s">
        <v>4</v>
      </c>
      <c r="L4" s="96" t="s">
        <v>5</v>
      </c>
      <c r="N4" s="98" t="s">
        <v>6</v>
      </c>
      <c r="O4" s="98" t="s">
        <v>7</v>
      </c>
      <c r="P4" s="99">
        <v>2020</v>
      </c>
      <c r="Q4" s="99">
        <v>2021</v>
      </c>
      <c r="R4" s="99">
        <v>2022</v>
      </c>
    </row>
    <row r="5" spans="1:19">
      <c r="A5" s="11" t="s">
        <v>8</v>
      </c>
      <c r="B5" s="12" t="s">
        <v>9</v>
      </c>
      <c r="C5" s="12" t="s">
        <v>10</v>
      </c>
      <c r="D5" s="12" t="s">
        <v>11</v>
      </c>
      <c r="E5" s="12" t="s">
        <v>12</v>
      </c>
      <c r="F5" s="12" t="s">
        <v>13</v>
      </c>
      <c r="G5" s="12" t="s">
        <v>14</v>
      </c>
      <c r="H5" s="12" t="s">
        <v>15</v>
      </c>
      <c r="I5" s="12" t="s">
        <v>16</v>
      </c>
      <c r="J5" s="93"/>
      <c r="K5" s="95"/>
      <c r="L5" s="97"/>
      <c r="N5" s="99"/>
      <c r="O5" s="99"/>
      <c r="P5" s="99"/>
      <c r="Q5" s="99"/>
      <c r="R5" s="99"/>
    </row>
    <row r="6" spans="1:19">
      <c r="A6" s="13" t="s">
        <v>17</v>
      </c>
      <c r="B6" s="14">
        <v>11</v>
      </c>
      <c r="C6" s="15">
        <v>28</v>
      </c>
      <c r="D6" s="15">
        <v>35</v>
      </c>
      <c r="E6" s="15">
        <v>37</v>
      </c>
      <c r="F6" s="15">
        <v>18</v>
      </c>
      <c r="G6" s="15">
        <v>4</v>
      </c>
      <c r="H6" s="15">
        <v>6</v>
      </c>
      <c r="I6" s="15">
        <v>7</v>
      </c>
      <c r="J6" s="50">
        <v>30000</v>
      </c>
      <c r="K6" s="51">
        <v>2</v>
      </c>
      <c r="L6" s="52">
        <v>50000</v>
      </c>
      <c r="N6" s="79" t="s">
        <v>18</v>
      </c>
      <c r="O6" s="80">
        <v>5670</v>
      </c>
      <c r="P6" s="81">
        <f>O6*1.8</f>
        <v>10206</v>
      </c>
      <c r="Q6" s="81">
        <f>P6*1.5</f>
        <v>15309</v>
      </c>
      <c r="R6" s="82">
        <f>Q6*1.2</f>
        <v>18370.8</v>
      </c>
    </row>
    <row r="7" spans="1:19">
      <c r="A7" s="16" t="s">
        <v>19</v>
      </c>
      <c r="B7" s="17">
        <v>4</v>
      </c>
      <c r="C7" s="18">
        <v>25</v>
      </c>
      <c r="D7" s="18">
        <v>37</v>
      </c>
      <c r="E7" s="18">
        <v>43</v>
      </c>
      <c r="F7" s="18">
        <v>22</v>
      </c>
      <c r="G7" s="18">
        <v>11</v>
      </c>
      <c r="H7" s="18">
        <v>14</v>
      </c>
      <c r="I7" s="18">
        <v>4</v>
      </c>
      <c r="J7" s="53">
        <v>25000</v>
      </c>
      <c r="K7" s="54">
        <v>3</v>
      </c>
      <c r="L7" s="55">
        <v>42000</v>
      </c>
      <c r="N7" s="79" t="s">
        <v>10</v>
      </c>
      <c r="O7" s="83">
        <v>3440</v>
      </c>
      <c r="P7" s="84">
        <f t="shared" ref="P7:P13" si="0">O7*1.8</f>
        <v>6192</v>
      </c>
      <c r="Q7" s="84">
        <f t="shared" ref="Q7:Q13" si="1">P7*1.5</f>
        <v>9288</v>
      </c>
      <c r="R7" s="85">
        <f t="shared" ref="R7:R13" si="2">Q7*1.2</f>
        <v>11145.6</v>
      </c>
      <c r="S7" s="83"/>
    </row>
    <row r="8" spans="1:19">
      <c r="A8" s="16" t="s">
        <v>20</v>
      </c>
      <c r="B8" s="17">
        <v>11</v>
      </c>
      <c r="C8" s="18">
        <v>19</v>
      </c>
      <c r="D8" s="18">
        <v>34</v>
      </c>
      <c r="E8" s="18">
        <v>46</v>
      </c>
      <c r="F8" s="18">
        <v>25</v>
      </c>
      <c r="G8" s="18">
        <v>20</v>
      </c>
      <c r="H8" s="18">
        <v>25</v>
      </c>
      <c r="I8" s="18">
        <v>15</v>
      </c>
      <c r="J8" s="53">
        <v>22000</v>
      </c>
      <c r="K8" s="54">
        <v>2.5</v>
      </c>
      <c r="L8" s="55">
        <v>37500</v>
      </c>
      <c r="N8" s="79" t="s">
        <v>11</v>
      </c>
      <c r="O8" s="83">
        <v>176</v>
      </c>
      <c r="P8" s="84">
        <f t="shared" si="0"/>
        <v>316.8</v>
      </c>
      <c r="Q8" s="84">
        <f t="shared" si="1"/>
        <v>475.20000000000005</v>
      </c>
      <c r="R8" s="85">
        <f t="shared" si="2"/>
        <v>570.24</v>
      </c>
      <c r="S8" s="83"/>
    </row>
    <row r="9" spans="1:19">
      <c r="A9" s="16" t="s">
        <v>21</v>
      </c>
      <c r="B9" s="17">
        <v>17</v>
      </c>
      <c r="C9" s="18">
        <v>24</v>
      </c>
      <c r="D9" s="18">
        <v>27</v>
      </c>
      <c r="E9" s="18">
        <v>27</v>
      </c>
      <c r="F9" s="18">
        <v>9</v>
      </c>
      <c r="G9" s="18">
        <v>9</v>
      </c>
      <c r="H9" s="18">
        <v>15</v>
      </c>
      <c r="I9" s="18">
        <v>14</v>
      </c>
      <c r="J9" s="53">
        <v>22000</v>
      </c>
      <c r="K9" s="54">
        <v>1.5</v>
      </c>
      <c r="L9" s="55">
        <v>37500</v>
      </c>
      <c r="N9" s="79" t="s">
        <v>12</v>
      </c>
      <c r="O9" s="83">
        <v>1863</v>
      </c>
      <c r="P9" s="84">
        <f t="shared" si="0"/>
        <v>3353.4</v>
      </c>
      <c r="Q9" s="84">
        <f t="shared" si="1"/>
        <v>5030.1000000000004</v>
      </c>
      <c r="R9" s="85">
        <f t="shared" si="2"/>
        <v>6036.12</v>
      </c>
    </row>
    <row r="10" spans="1:19">
      <c r="A10" s="19" t="s">
        <v>22</v>
      </c>
      <c r="B10" s="20">
        <v>49</v>
      </c>
      <c r="C10" s="21">
        <v>44</v>
      </c>
      <c r="D10" s="21">
        <v>32</v>
      </c>
      <c r="E10" s="21">
        <v>11</v>
      </c>
      <c r="F10" s="21">
        <v>29</v>
      </c>
      <c r="G10" s="21">
        <v>41</v>
      </c>
      <c r="H10" s="21">
        <v>44</v>
      </c>
      <c r="I10" s="21">
        <v>46</v>
      </c>
      <c r="J10" s="56">
        <v>24000</v>
      </c>
      <c r="K10" s="57">
        <v>1</v>
      </c>
      <c r="L10" s="58">
        <v>40000</v>
      </c>
      <c r="N10" s="79" t="s">
        <v>13</v>
      </c>
      <c r="O10" s="83">
        <v>1216</v>
      </c>
      <c r="P10" s="84">
        <f t="shared" si="0"/>
        <v>2188.8000000000002</v>
      </c>
      <c r="Q10" s="84">
        <f t="shared" si="1"/>
        <v>3283.2000000000003</v>
      </c>
      <c r="R10" s="85">
        <f t="shared" si="2"/>
        <v>3939.84</v>
      </c>
    </row>
    <row r="11" spans="1:19">
      <c r="A11" s="22" t="s">
        <v>23</v>
      </c>
      <c r="B11" s="23">
        <v>5670</v>
      </c>
      <c r="C11" s="24">
        <v>3440</v>
      </c>
      <c r="D11" s="24">
        <v>176</v>
      </c>
      <c r="E11" s="24">
        <v>1863</v>
      </c>
      <c r="F11" s="24">
        <v>1216</v>
      </c>
      <c r="G11" s="24">
        <v>4583</v>
      </c>
      <c r="H11" s="24">
        <v>370</v>
      </c>
      <c r="I11" s="24">
        <v>282</v>
      </c>
      <c r="J11" s="59" t="s">
        <v>24</v>
      </c>
      <c r="K11" s="25"/>
      <c r="L11" s="59" t="s">
        <v>24</v>
      </c>
      <c r="N11" s="79" t="s">
        <v>14</v>
      </c>
      <c r="O11" s="83">
        <v>4583</v>
      </c>
      <c r="P11" s="84">
        <f t="shared" si="0"/>
        <v>8249.4</v>
      </c>
      <c r="Q11" s="84">
        <f t="shared" si="1"/>
        <v>12374.099999999999</v>
      </c>
      <c r="R11" s="85">
        <f t="shared" si="2"/>
        <v>14848.919999999998</v>
      </c>
    </row>
    <row r="12" spans="1:19">
      <c r="A12" s="25"/>
      <c r="B12" s="9"/>
      <c r="C12" s="9"/>
      <c r="D12" s="9"/>
      <c r="E12" s="9"/>
      <c r="F12" s="9"/>
      <c r="G12" s="9"/>
      <c r="H12" s="9"/>
      <c r="I12" s="9"/>
      <c r="J12" s="60">
        <v>10000</v>
      </c>
      <c r="K12" s="9"/>
      <c r="L12" s="60">
        <v>20000</v>
      </c>
      <c r="N12" s="79" t="s">
        <v>15</v>
      </c>
      <c r="O12" s="83">
        <v>370</v>
      </c>
      <c r="P12" s="84">
        <f t="shared" si="0"/>
        <v>666</v>
      </c>
      <c r="Q12" s="84">
        <f t="shared" si="1"/>
        <v>999</v>
      </c>
      <c r="R12" s="85">
        <f t="shared" si="2"/>
        <v>1198.8</v>
      </c>
    </row>
    <row r="13" spans="1:19">
      <c r="N13" s="79" t="s">
        <v>16</v>
      </c>
      <c r="O13" s="86">
        <v>282</v>
      </c>
      <c r="P13" s="84">
        <f t="shared" si="0"/>
        <v>507.6</v>
      </c>
      <c r="Q13" s="84">
        <f t="shared" si="1"/>
        <v>761.40000000000009</v>
      </c>
      <c r="R13" s="85">
        <f t="shared" si="2"/>
        <v>913.68000000000006</v>
      </c>
    </row>
    <row r="14" spans="1:19">
      <c r="A14" s="8" t="s">
        <v>25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P14" s="81"/>
      <c r="Q14" s="81"/>
      <c r="R14" s="81"/>
    </row>
    <row r="15" spans="1:19" ht="38.25">
      <c r="A15" s="10"/>
      <c r="B15" s="90" t="s">
        <v>26</v>
      </c>
      <c r="C15" s="91"/>
      <c r="D15" s="91"/>
      <c r="E15" s="91"/>
      <c r="F15" s="91"/>
      <c r="G15" s="91"/>
      <c r="H15" s="91"/>
      <c r="I15" s="91"/>
      <c r="J15" s="61" t="s">
        <v>27</v>
      </c>
      <c r="K15" s="62" t="s">
        <v>28</v>
      </c>
      <c r="L15" s="63" t="s">
        <v>29</v>
      </c>
    </row>
    <row r="16" spans="1:19">
      <c r="A16" s="11" t="s">
        <v>8</v>
      </c>
      <c r="B16" s="12" t="s">
        <v>9</v>
      </c>
      <c r="C16" s="12" t="s">
        <v>10</v>
      </c>
      <c r="D16" s="12" t="s">
        <v>11</v>
      </c>
      <c r="E16" s="12" t="s">
        <v>12</v>
      </c>
      <c r="F16" s="12" t="s">
        <v>13</v>
      </c>
      <c r="G16" s="12" t="s">
        <v>14</v>
      </c>
      <c r="H16" s="12" t="s">
        <v>15</v>
      </c>
      <c r="I16" s="12" t="s">
        <v>16</v>
      </c>
      <c r="J16" s="49" t="s">
        <v>30</v>
      </c>
      <c r="K16" s="49" t="s">
        <v>30</v>
      </c>
      <c r="L16" s="64" t="s">
        <v>30</v>
      </c>
    </row>
    <row r="17" spans="1:12">
      <c r="A17" s="13" t="s">
        <v>17</v>
      </c>
      <c r="B17" s="26">
        <v>5670</v>
      </c>
      <c r="C17" s="27">
        <v>3440</v>
      </c>
      <c r="D17" s="27">
        <v>176</v>
      </c>
      <c r="E17" s="27">
        <v>1863</v>
      </c>
      <c r="F17" s="27">
        <v>1216</v>
      </c>
      <c r="G17" s="27">
        <v>4583</v>
      </c>
      <c r="H17" s="27">
        <v>370</v>
      </c>
      <c r="I17" s="65">
        <v>282</v>
      </c>
      <c r="J17" s="66"/>
      <c r="K17" s="67">
        <v>1</v>
      </c>
      <c r="L17" s="68">
        <f>SUM(B17:I17)</f>
        <v>17600</v>
      </c>
    </row>
    <row r="18" spans="1:12">
      <c r="A18" s="16" t="s">
        <v>19</v>
      </c>
      <c r="B18" s="28"/>
      <c r="C18" s="29"/>
      <c r="D18" s="29"/>
      <c r="E18" s="29"/>
      <c r="F18" s="29"/>
      <c r="G18" s="29"/>
      <c r="H18" s="29"/>
      <c r="I18" s="69"/>
      <c r="J18" s="70"/>
      <c r="K18" s="71"/>
      <c r="L18" s="68"/>
    </row>
    <row r="19" spans="1:12">
      <c r="A19" s="16" t="s">
        <v>20</v>
      </c>
      <c r="B19" s="28"/>
      <c r="C19" s="29"/>
      <c r="D19" s="29"/>
      <c r="E19" s="29"/>
      <c r="F19" s="29"/>
      <c r="G19" s="29"/>
      <c r="H19" s="29"/>
      <c r="I19" s="69"/>
      <c r="J19" s="70"/>
      <c r="K19" s="71"/>
      <c r="L19" s="68"/>
    </row>
    <row r="20" spans="1:12">
      <c r="A20" s="16" t="s">
        <v>21</v>
      </c>
      <c r="B20" s="28"/>
      <c r="C20" s="29"/>
      <c r="D20" s="29"/>
      <c r="E20" s="29"/>
      <c r="F20" s="29"/>
      <c r="G20" s="29"/>
      <c r="H20" s="29"/>
      <c r="I20" s="69"/>
      <c r="J20" s="70"/>
      <c r="K20" s="71"/>
      <c r="L20" s="68"/>
    </row>
    <row r="21" spans="1:12">
      <c r="A21" s="19" t="s">
        <v>22</v>
      </c>
      <c r="B21" s="30"/>
      <c r="C21" s="31"/>
      <c r="D21" s="31"/>
      <c r="E21" s="31"/>
      <c r="F21" s="31"/>
      <c r="G21" s="31"/>
      <c r="H21" s="31"/>
      <c r="I21" s="72"/>
      <c r="J21" s="73"/>
      <c r="K21" s="74"/>
      <c r="L21" s="89"/>
    </row>
    <row r="23" spans="1:12">
      <c r="A23" s="32" t="s">
        <v>31</v>
      </c>
      <c r="B23" s="9"/>
      <c r="C23" s="9"/>
      <c r="D23" s="9"/>
      <c r="E23" s="33"/>
      <c r="F23" s="33"/>
      <c r="G23" s="33"/>
      <c r="H23" s="33"/>
      <c r="I23" s="33"/>
    </row>
    <row r="24" spans="1:12">
      <c r="A24" s="34" t="s">
        <v>8</v>
      </c>
      <c r="B24" s="35" t="s">
        <v>32</v>
      </c>
      <c r="C24" s="36"/>
      <c r="D24" s="36"/>
      <c r="E24" s="36"/>
      <c r="F24" s="36"/>
      <c r="G24" s="36"/>
      <c r="H24" s="36"/>
      <c r="I24" s="75"/>
    </row>
    <row r="25" spans="1:12">
      <c r="A25" s="13" t="s">
        <v>17</v>
      </c>
      <c r="B25" s="37">
        <f>J17*J12+K17*L12-SUM(B17:I17)</f>
        <v>2400</v>
      </c>
      <c r="C25" s="9"/>
      <c r="D25" s="9"/>
      <c r="E25" s="9"/>
      <c r="F25" s="9"/>
      <c r="G25" s="9"/>
      <c r="H25" s="9"/>
      <c r="I25" s="76"/>
    </row>
    <row r="26" spans="1:12">
      <c r="A26" s="16" t="s">
        <v>19</v>
      </c>
      <c r="B26" s="38"/>
      <c r="C26" s="9"/>
      <c r="D26" s="9"/>
      <c r="E26" s="9"/>
      <c r="F26" s="9"/>
      <c r="G26" s="9"/>
      <c r="H26" s="9"/>
      <c r="I26" s="76"/>
    </row>
    <row r="27" spans="1:12">
      <c r="A27" s="16" t="s">
        <v>20</v>
      </c>
      <c r="B27" s="38"/>
      <c r="C27" s="9"/>
      <c r="D27" s="9"/>
      <c r="E27" s="9"/>
      <c r="F27" s="9"/>
      <c r="G27" s="9"/>
      <c r="H27" s="9"/>
      <c r="I27" s="76"/>
    </row>
    <row r="28" spans="1:12">
      <c r="A28" s="16" t="s">
        <v>21</v>
      </c>
      <c r="B28" s="38"/>
      <c r="C28" s="9"/>
      <c r="D28" s="9"/>
      <c r="E28" s="9"/>
      <c r="F28" s="9"/>
      <c r="G28" s="9"/>
      <c r="H28" s="9"/>
      <c r="I28" s="76"/>
    </row>
    <row r="29" spans="1:12">
      <c r="A29" s="19" t="s">
        <v>22</v>
      </c>
      <c r="B29" s="39"/>
      <c r="C29" s="40"/>
      <c r="D29" s="40"/>
      <c r="E29" s="40"/>
      <c r="F29" s="40"/>
      <c r="G29" s="40"/>
      <c r="H29" s="40"/>
      <c r="I29" s="77"/>
    </row>
    <row r="30" spans="1:12">
      <c r="A30" s="41"/>
      <c r="B30" s="12" t="s">
        <v>9</v>
      </c>
      <c r="C30" s="12" t="s">
        <v>10</v>
      </c>
      <c r="D30" s="12" t="s">
        <v>11</v>
      </c>
      <c r="E30" s="12" t="s">
        <v>12</v>
      </c>
      <c r="F30" s="12" t="s">
        <v>13</v>
      </c>
      <c r="G30" s="12" t="s">
        <v>14</v>
      </c>
      <c r="H30" s="12" t="s">
        <v>15</v>
      </c>
      <c r="I30" s="78" t="s">
        <v>16</v>
      </c>
    </row>
    <row r="31" spans="1:12">
      <c r="A31" s="22" t="s">
        <v>33</v>
      </c>
      <c r="B31" s="42">
        <f>B11-SUM(B17:B21)</f>
        <v>0</v>
      </c>
      <c r="C31" s="42">
        <f t="shared" ref="C31:I31" si="3">C11-SUM(C17:C21)</f>
        <v>0</v>
      </c>
      <c r="D31" s="42">
        <f t="shared" si="3"/>
        <v>0</v>
      </c>
      <c r="E31" s="42">
        <f t="shared" si="3"/>
        <v>0</v>
      </c>
      <c r="F31" s="42">
        <f t="shared" si="3"/>
        <v>0</v>
      </c>
      <c r="G31" s="42">
        <f t="shared" si="3"/>
        <v>0</v>
      </c>
      <c r="H31" s="42">
        <f t="shared" si="3"/>
        <v>0</v>
      </c>
      <c r="I31" s="42">
        <f t="shared" si="3"/>
        <v>0</v>
      </c>
    </row>
    <row r="33" spans="1:4">
      <c r="A33" s="8" t="s">
        <v>34</v>
      </c>
      <c r="B33" s="9"/>
    </row>
    <row r="34" spans="1:4">
      <c r="A34" s="43" t="s">
        <v>35</v>
      </c>
      <c r="B34" s="44">
        <f>SUMPRODUCT(J17:J21,J6:J10)+SUMPRODUCT(K17:K21,L6:L10)</f>
        <v>50000</v>
      </c>
    </row>
    <row r="35" spans="1:4">
      <c r="A35" s="45" t="s">
        <v>36</v>
      </c>
      <c r="B35" s="46">
        <f>SUMPRODUCT(B17:I21,B6:I10)-15*SUM(L17:L21)</f>
        <v>14195</v>
      </c>
    </row>
    <row r="36" spans="1:4">
      <c r="A36" s="45" t="s">
        <v>37</v>
      </c>
      <c r="B36" s="46">
        <f>SUMPRODUCT(L17:L21,K6:K10)</f>
        <v>35200</v>
      </c>
    </row>
    <row r="37" spans="1:4">
      <c r="A37" s="22" t="s">
        <v>38</v>
      </c>
      <c r="B37" s="47">
        <f>50000*(J17+K17)+6.5*SUM(L17:L21)</f>
        <v>164400</v>
      </c>
      <c r="D37" s="104"/>
    </row>
    <row r="38" spans="1:4">
      <c r="A38" s="9"/>
      <c r="B38" s="9"/>
    </row>
    <row r="39" spans="1:4">
      <c r="A39" s="9"/>
      <c r="B39" s="9"/>
    </row>
    <row r="40" spans="1:4">
      <c r="A40" s="8" t="s">
        <v>39</v>
      </c>
      <c r="B40" s="9"/>
    </row>
    <row r="41" spans="1:4">
      <c r="A41" s="48" t="s">
        <v>35</v>
      </c>
      <c r="B41" s="105">
        <f>SUM(B34:B37)</f>
        <v>263795</v>
      </c>
    </row>
  </sheetData>
  <mergeCells count="10">
    <mergeCell ref="N4:N5"/>
    <mergeCell ref="O4:O5"/>
    <mergeCell ref="P4:P5"/>
    <mergeCell ref="Q4:Q5"/>
    <mergeCell ref="R4:R5"/>
    <mergeCell ref="B4:I4"/>
    <mergeCell ref="B15:I15"/>
    <mergeCell ref="J4:J5"/>
    <mergeCell ref="K4:K5"/>
    <mergeCell ref="L4:L5"/>
  </mergeCells>
  <pageMargins left="0.75" right="0.75" top="1" bottom="1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9"/>
  <sheetViews>
    <sheetView topLeftCell="A22" workbookViewId="0">
      <selection activeCell="B13" sqref="B13:I13"/>
    </sheetView>
  </sheetViews>
  <sheetFormatPr defaultColWidth="9" defaultRowHeight="15"/>
  <cols>
    <col min="2" max="2" width="13.5703125" customWidth="1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18371</v>
      </c>
      <c r="C9" s="24">
        <v>11146</v>
      </c>
      <c r="D9" s="24">
        <v>571</v>
      </c>
      <c r="E9" s="24">
        <v>6037</v>
      </c>
      <c r="F9" s="24">
        <v>3940</v>
      </c>
      <c r="G9" s="24">
        <v>14849</v>
      </c>
      <c r="H9" s="24">
        <v>1199</v>
      </c>
      <c r="I9" s="24">
        <v>914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65">
        <v>0</v>
      </c>
      <c r="J15" s="66">
        <v>0</v>
      </c>
      <c r="K15" s="67">
        <v>0</v>
      </c>
      <c r="L15" s="68">
        <f t="shared" ref="L15:L19" si="0">SUM(B15:I15)</f>
        <v>0</v>
      </c>
    </row>
    <row r="16" spans="1:12">
      <c r="A16" s="16" t="s">
        <v>19</v>
      </c>
      <c r="B16" s="28">
        <v>18371</v>
      </c>
      <c r="C16" s="29">
        <v>2.9983547213802402E-11</v>
      </c>
      <c r="D16" s="29">
        <v>1.73828677409461E-11</v>
      </c>
      <c r="E16" s="29">
        <v>5.8992472257407802E-12</v>
      </c>
      <c r="F16" s="29">
        <v>1.36765546008096E-11</v>
      </c>
      <c r="G16" s="29">
        <v>5.40832423858811E-11</v>
      </c>
      <c r="H16" s="29">
        <v>1.67879981726078E-10</v>
      </c>
      <c r="I16" s="69">
        <v>913.99999999994998</v>
      </c>
      <c r="J16" s="70">
        <v>0</v>
      </c>
      <c r="K16" s="71">
        <v>1</v>
      </c>
      <c r="L16" s="68">
        <f t="shared" si="0"/>
        <v>19285.00000000024</v>
      </c>
    </row>
    <row r="17" spans="1:12">
      <c r="A17" s="16" t="s">
        <v>20</v>
      </c>
      <c r="B17" s="28">
        <v>3.1985729294820102E-11</v>
      </c>
      <c r="C17" s="29">
        <v>11145.9999999999</v>
      </c>
      <c r="D17" s="29">
        <v>2.57923656035237E-11</v>
      </c>
      <c r="E17" s="29">
        <v>5.5296478637828803E-12</v>
      </c>
      <c r="F17" s="29">
        <v>1.18407321424197E-11</v>
      </c>
      <c r="G17" s="29">
        <v>1.67511723617711E-11</v>
      </c>
      <c r="H17" s="29">
        <v>1.8263764020192999E-11</v>
      </c>
      <c r="I17" s="69">
        <v>2.0029305174663801E-11</v>
      </c>
      <c r="J17" s="70">
        <v>0</v>
      </c>
      <c r="K17" s="71">
        <v>1</v>
      </c>
      <c r="L17" s="68">
        <f t="shared" si="0"/>
        <v>11146.000000000031</v>
      </c>
    </row>
    <row r="18" spans="1:12">
      <c r="A18" s="16" t="s">
        <v>21</v>
      </c>
      <c r="B18" s="28">
        <v>1.7826962665727499E-11</v>
      </c>
      <c r="C18" s="29">
        <v>5.0671093003055497E-11</v>
      </c>
      <c r="D18" s="29">
        <v>570.99999999991098</v>
      </c>
      <c r="E18" s="29">
        <v>1.23023876856538E-11</v>
      </c>
      <c r="F18" s="29">
        <v>3939.99999999996</v>
      </c>
      <c r="G18" s="29">
        <v>14848.9999999999</v>
      </c>
      <c r="H18" s="29">
        <v>1198.9999999998099</v>
      </c>
      <c r="I18" s="69">
        <v>2.5174890219819801E-11</v>
      </c>
      <c r="J18" s="70">
        <v>1</v>
      </c>
      <c r="K18" s="71">
        <v>1</v>
      </c>
      <c r="L18" s="68">
        <f t="shared" si="0"/>
        <v>20558.999999999687</v>
      </c>
    </row>
    <row r="19" spans="1:12">
      <c r="A19" s="19" t="s">
        <v>22</v>
      </c>
      <c r="B19" s="30">
        <v>4.6842268033924203E-12</v>
      </c>
      <c r="C19" s="31">
        <v>8.5108807050012804E-12</v>
      </c>
      <c r="D19" s="31">
        <v>4.6034713577735001E-11</v>
      </c>
      <c r="E19" s="31">
        <v>6036.99999999998</v>
      </c>
      <c r="F19" s="31">
        <v>1.02513012210315E-11</v>
      </c>
      <c r="G19" s="31">
        <v>6.3552605099303198E-12</v>
      </c>
      <c r="H19" s="31">
        <v>7.01743201172783E-12</v>
      </c>
      <c r="I19" s="72">
        <v>5.0527355266803499E-12</v>
      </c>
      <c r="J19" s="73">
        <v>1</v>
      </c>
      <c r="K19" s="74">
        <v>0</v>
      </c>
      <c r="L19" s="68">
        <f t="shared" si="0"/>
        <v>6037.0000000000682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0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714.99999999975989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8853.9999999999691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9441.0000000003129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3962.9999999999318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-5.4569682106375694E-11</v>
      </c>
      <c r="C29" s="42">
        <f t="shared" si="1"/>
        <v>0</v>
      </c>
      <c r="D29" s="42">
        <f t="shared" si="1"/>
        <v>0</v>
      </c>
      <c r="E29" s="42">
        <f t="shared" si="1"/>
        <v>0</v>
      </c>
      <c r="F29" s="42">
        <f t="shared" si="1"/>
        <v>4.0927261579781771E-12</v>
      </c>
      <c r="G29" s="42">
        <f t="shared" si="1"/>
        <v>2.3646862246096134E-11</v>
      </c>
      <c r="H29" s="42">
        <f t="shared" si="1"/>
        <v>-3.1832314562052488E-12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163000</v>
      </c>
    </row>
    <row r="33" spans="1:2">
      <c r="A33" s="45" t="s">
        <v>36</v>
      </c>
      <c r="B33" s="46">
        <f>SUMPRODUCT(B15:I19,B4:I8)-15*SUM(L15:L19)</f>
        <v>-297580.99999999604</v>
      </c>
    </row>
    <row r="34" spans="1:2">
      <c r="A34" s="45" t="s">
        <v>37</v>
      </c>
      <c r="B34" s="46">
        <f>SUMPRODUCT(L15:L19,K4:K8)</f>
        <v>122595.50000000041</v>
      </c>
    </row>
    <row r="35" spans="1:2">
      <c r="A35" s="22" t="s">
        <v>38</v>
      </c>
      <c r="B35" s="47">
        <f>50000*SUM(J15:K19)+6.5*SUM(L15:L19)</f>
        <v>620675.50000000012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608690.00000000442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V23"/>
  <sheetViews>
    <sheetView topLeftCell="A4" workbookViewId="0">
      <selection activeCell="C24" sqref="C24"/>
    </sheetView>
  </sheetViews>
  <sheetFormatPr defaultColWidth="9" defaultRowHeight="15"/>
  <cols>
    <col min="3" max="3" width="15.7109375" customWidth="1"/>
    <col min="9" max="9" width="13.85546875" customWidth="1"/>
    <col min="15" max="15" width="16" customWidth="1"/>
    <col min="22" max="22" width="10.85546875" bestFit="1" customWidth="1"/>
  </cols>
  <sheetData>
    <row r="2" spans="1:22">
      <c r="A2" s="100" t="s">
        <v>40</v>
      </c>
      <c r="B2" s="100"/>
      <c r="C2" s="100"/>
      <c r="D2" s="100"/>
      <c r="E2" s="100"/>
      <c r="F2" s="100"/>
      <c r="H2" s="100" t="s">
        <v>41</v>
      </c>
      <c r="I2" s="100"/>
      <c r="J2" s="100"/>
      <c r="K2" s="100"/>
      <c r="L2" s="100"/>
      <c r="M2" s="100"/>
      <c r="N2" s="100" t="s">
        <v>42</v>
      </c>
      <c r="O2" s="100"/>
      <c r="P2" s="100"/>
      <c r="Q2" s="100"/>
      <c r="R2" s="100"/>
      <c r="S2" s="100"/>
    </row>
    <row r="4" spans="1:22">
      <c r="C4" s="100" t="s">
        <v>43</v>
      </c>
      <c r="D4" s="100"/>
      <c r="E4" s="100" t="s">
        <v>44</v>
      </c>
      <c r="F4" s="100"/>
      <c r="I4" s="100" t="s">
        <v>43</v>
      </c>
      <c r="J4" s="100"/>
      <c r="K4" s="100" t="s">
        <v>44</v>
      </c>
      <c r="L4" s="100"/>
      <c r="O4" s="100" t="s">
        <v>43</v>
      </c>
      <c r="P4" s="100"/>
      <c r="Q4" s="100" t="s">
        <v>44</v>
      </c>
      <c r="R4" s="100"/>
      <c r="U4" s="102"/>
      <c r="V4" s="102"/>
    </row>
    <row r="5" spans="1:22">
      <c r="A5">
        <v>2020</v>
      </c>
      <c r="B5" t="s">
        <v>45</v>
      </c>
      <c r="C5" s="107">
        <v>494856</v>
      </c>
      <c r="D5" s="107"/>
      <c r="E5" s="2">
        <v>0</v>
      </c>
      <c r="F5" s="2">
        <v>2</v>
      </c>
      <c r="I5" s="107">
        <v>476940</v>
      </c>
      <c r="J5" s="107"/>
      <c r="K5" s="2">
        <v>0</v>
      </c>
      <c r="L5" s="2">
        <v>1</v>
      </c>
      <c r="O5" s="107">
        <v>434210</v>
      </c>
      <c r="P5" s="107"/>
      <c r="Q5" s="2">
        <v>0</v>
      </c>
      <c r="R5" s="2">
        <v>0</v>
      </c>
      <c r="U5" s="1"/>
      <c r="V5" s="103"/>
    </row>
    <row r="6" spans="1:22">
      <c r="B6" t="s">
        <v>46</v>
      </c>
      <c r="E6" s="2">
        <v>0</v>
      </c>
      <c r="F6" s="2">
        <v>0</v>
      </c>
      <c r="K6" s="2">
        <v>0</v>
      </c>
      <c r="L6" s="2">
        <v>1</v>
      </c>
      <c r="Q6" s="2">
        <v>0</v>
      </c>
      <c r="R6" s="2">
        <v>1</v>
      </c>
      <c r="U6" s="1"/>
      <c r="V6" s="103"/>
    </row>
    <row r="7" spans="1:22">
      <c r="B7" t="s">
        <v>47</v>
      </c>
      <c r="E7" s="2">
        <v>0</v>
      </c>
      <c r="F7" s="2">
        <v>0</v>
      </c>
      <c r="K7" s="2">
        <v>1</v>
      </c>
      <c r="L7" s="2">
        <v>0</v>
      </c>
      <c r="Q7" s="2">
        <v>1</v>
      </c>
      <c r="R7" s="2">
        <v>0</v>
      </c>
      <c r="U7" s="1"/>
      <c r="V7" s="103"/>
    </row>
    <row r="8" spans="1:22">
      <c r="B8" t="s">
        <v>48</v>
      </c>
      <c r="E8" s="2">
        <v>0</v>
      </c>
      <c r="F8" s="2">
        <v>0</v>
      </c>
      <c r="K8" s="2">
        <v>1</v>
      </c>
      <c r="L8" s="2">
        <v>0</v>
      </c>
      <c r="Q8" s="2">
        <v>0</v>
      </c>
      <c r="R8" s="2">
        <v>1</v>
      </c>
    </row>
    <row r="9" spans="1:22">
      <c r="B9" t="s">
        <v>49</v>
      </c>
      <c r="E9" s="2">
        <v>0</v>
      </c>
      <c r="F9" s="2">
        <v>0</v>
      </c>
      <c r="K9" s="2">
        <v>1</v>
      </c>
      <c r="L9" s="2">
        <v>0</v>
      </c>
      <c r="Q9" s="2">
        <v>1</v>
      </c>
      <c r="R9" s="2">
        <v>0</v>
      </c>
    </row>
    <row r="11" spans="1:22">
      <c r="A11">
        <v>2021</v>
      </c>
      <c r="B11" t="s">
        <v>45</v>
      </c>
      <c r="C11" s="107">
        <v>722304</v>
      </c>
      <c r="D11" s="107"/>
      <c r="E11" s="2">
        <v>1</v>
      </c>
      <c r="F11" s="2">
        <v>2</v>
      </c>
      <c r="I11" s="107">
        <v>510421</v>
      </c>
      <c r="J11" s="107"/>
      <c r="K11" s="2">
        <v>0</v>
      </c>
      <c r="L11" s="2">
        <v>1</v>
      </c>
      <c r="O11" s="107">
        <v>576076</v>
      </c>
      <c r="P11" s="107"/>
      <c r="Q11" s="2">
        <v>0</v>
      </c>
      <c r="R11" s="2">
        <v>0</v>
      </c>
    </row>
    <row r="12" spans="1:22">
      <c r="B12" t="s">
        <v>46</v>
      </c>
      <c r="E12" s="2">
        <v>0</v>
      </c>
      <c r="F12" s="2">
        <v>0</v>
      </c>
      <c r="K12" s="2">
        <v>0</v>
      </c>
      <c r="L12" s="2">
        <v>1</v>
      </c>
      <c r="Q12" s="2">
        <v>0</v>
      </c>
      <c r="R12" s="2">
        <v>1</v>
      </c>
    </row>
    <row r="13" spans="1:22">
      <c r="B13" t="s">
        <v>47</v>
      </c>
      <c r="E13" s="2">
        <v>0</v>
      </c>
      <c r="F13" s="2">
        <v>0</v>
      </c>
      <c r="K13" s="2">
        <v>1</v>
      </c>
      <c r="L13" s="2">
        <v>0</v>
      </c>
      <c r="Q13" s="2">
        <v>1</v>
      </c>
      <c r="R13" s="2">
        <v>0</v>
      </c>
    </row>
    <row r="14" spans="1:22">
      <c r="B14" t="s">
        <v>48</v>
      </c>
      <c r="E14" s="2">
        <v>0</v>
      </c>
      <c r="F14" s="2">
        <v>0</v>
      </c>
      <c r="K14" s="2">
        <v>1</v>
      </c>
      <c r="L14" s="2">
        <v>0</v>
      </c>
      <c r="Q14" s="2">
        <v>0</v>
      </c>
      <c r="R14" s="2">
        <v>2</v>
      </c>
    </row>
    <row r="15" spans="1:22">
      <c r="B15" t="s">
        <v>49</v>
      </c>
      <c r="E15" s="2">
        <v>0</v>
      </c>
      <c r="F15" s="2">
        <v>0</v>
      </c>
      <c r="K15" s="2">
        <v>1</v>
      </c>
      <c r="L15" s="2">
        <v>0</v>
      </c>
      <c r="Q15" s="4">
        <v>1</v>
      </c>
      <c r="R15" s="2">
        <v>0</v>
      </c>
    </row>
    <row r="16" spans="1:22">
      <c r="P16" s="3"/>
      <c r="Q16" s="5"/>
      <c r="R16" s="6"/>
      <c r="S16" s="3"/>
    </row>
    <row r="17" spans="1:18">
      <c r="A17">
        <v>2022</v>
      </c>
      <c r="B17" t="s">
        <v>45</v>
      </c>
      <c r="C17" s="107">
        <v>830775.5</v>
      </c>
      <c r="D17" s="107"/>
      <c r="E17" s="2">
        <v>0</v>
      </c>
      <c r="F17" s="2">
        <v>3</v>
      </c>
      <c r="I17" s="107">
        <v>546006</v>
      </c>
      <c r="J17" s="107"/>
      <c r="K17" s="2">
        <v>0</v>
      </c>
      <c r="L17" s="2">
        <v>1</v>
      </c>
      <c r="O17" s="107">
        <v>608690</v>
      </c>
      <c r="P17" s="107"/>
      <c r="Q17" s="2">
        <v>0</v>
      </c>
      <c r="R17" s="7">
        <v>0</v>
      </c>
    </row>
    <row r="18" spans="1:18">
      <c r="B18" t="s">
        <v>46</v>
      </c>
      <c r="E18" s="2">
        <v>0</v>
      </c>
      <c r="F18" s="2">
        <v>0</v>
      </c>
      <c r="K18" s="2">
        <v>0</v>
      </c>
      <c r="L18" s="2">
        <v>1</v>
      </c>
      <c r="Q18" s="2">
        <v>0</v>
      </c>
      <c r="R18" s="2">
        <v>1</v>
      </c>
    </row>
    <row r="19" spans="1:18">
      <c r="B19" t="s">
        <v>47</v>
      </c>
      <c r="E19" s="2">
        <v>0</v>
      </c>
      <c r="F19" s="2">
        <v>0</v>
      </c>
      <c r="K19" s="2">
        <v>0</v>
      </c>
      <c r="L19" s="2">
        <v>1</v>
      </c>
      <c r="Q19" s="2">
        <v>0</v>
      </c>
      <c r="R19" s="2">
        <v>1</v>
      </c>
    </row>
    <row r="20" spans="1:18">
      <c r="B20" t="s">
        <v>48</v>
      </c>
      <c r="E20" s="2">
        <v>0</v>
      </c>
      <c r="F20" s="2">
        <v>0</v>
      </c>
      <c r="K20" s="2">
        <v>1</v>
      </c>
      <c r="L20" s="2">
        <v>0</v>
      </c>
      <c r="Q20" s="2">
        <v>1</v>
      </c>
      <c r="R20" s="2">
        <v>1</v>
      </c>
    </row>
    <row r="21" spans="1:18">
      <c r="B21" t="s">
        <v>49</v>
      </c>
      <c r="E21" s="2">
        <v>0</v>
      </c>
      <c r="F21" s="2">
        <v>0</v>
      </c>
      <c r="K21" s="2">
        <v>1</v>
      </c>
      <c r="L21" s="2">
        <v>0</v>
      </c>
      <c r="Q21" s="2">
        <v>1</v>
      </c>
      <c r="R21" s="2">
        <v>0</v>
      </c>
    </row>
    <row r="23" spans="1:18">
      <c r="A23" s="100" t="s">
        <v>50</v>
      </c>
      <c r="B23" s="100"/>
      <c r="C23" s="106">
        <f>C17+C11+C5</f>
        <v>2047935.5</v>
      </c>
      <c r="D23" s="105"/>
      <c r="I23" s="106">
        <f>I17+I11+I5</f>
        <v>1533367</v>
      </c>
      <c r="O23" s="106">
        <f>O17+O11+O5</f>
        <v>1618976</v>
      </c>
    </row>
  </sheetData>
  <mergeCells count="19">
    <mergeCell ref="C17:D17"/>
    <mergeCell ref="I17:J17"/>
    <mergeCell ref="O17:P17"/>
    <mergeCell ref="A23:B23"/>
    <mergeCell ref="C5:D5"/>
    <mergeCell ref="I5:J5"/>
    <mergeCell ref="O5:P5"/>
    <mergeCell ref="C11:D11"/>
    <mergeCell ref="I11:J11"/>
    <mergeCell ref="O11:P11"/>
    <mergeCell ref="A2:F2"/>
    <mergeCell ref="H2:M2"/>
    <mergeCell ref="N2:S2"/>
    <mergeCell ref="C4:D4"/>
    <mergeCell ref="E4:F4"/>
    <mergeCell ref="I4:J4"/>
    <mergeCell ref="K4:L4"/>
    <mergeCell ref="O4:P4"/>
    <mergeCell ref="Q4:R4"/>
  </mergeCells>
  <pageMargins left="0.75" right="0.75" top="1" bottom="1" header="0.5" footer="0.5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82EF0-7CD1-42F6-8FDE-CD47BE224E24}">
  <dimension ref="B2:Q11"/>
  <sheetViews>
    <sheetView tabSelected="1" workbookViewId="0">
      <selection activeCell="D15" sqref="D15"/>
    </sheetView>
  </sheetViews>
  <sheetFormatPr defaultRowHeight="15"/>
  <cols>
    <col min="2" max="2" width="11.42578125" bestFit="1" customWidth="1"/>
    <col min="3" max="3" width="12.28515625" customWidth="1"/>
    <col min="7" max="7" width="12.28515625" customWidth="1"/>
    <col min="11" max="11" width="12.28515625" customWidth="1"/>
  </cols>
  <sheetData>
    <row r="2" spans="2:17">
      <c r="B2" s="100" t="s">
        <v>40</v>
      </c>
      <c r="C2" s="100"/>
      <c r="D2" s="100"/>
      <c r="E2" s="110"/>
      <c r="F2" s="100" t="s">
        <v>41</v>
      </c>
      <c r="G2" s="100"/>
      <c r="H2" s="100"/>
      <c r="I2" s="110"/>
      <c r="J2" s="100" t="s">
        <v>42</v>
      </c>
      <c r="K2" s="100"/>
      <c r="L2" s="100"/>
      <c r="M2" s="110"/>
      <c r="N2" s="110"/>
      <c r="O2" s="110"/>
    </row>
    <row r="4" spans="2:17">
      <c r="C4" s="100" t="s">
        <v>43</v>
      </c>
      <c r="D4" s="100"/>
      <c r="E4" s="108"/>
      <c r="G4" s="100" t="s">
        <v>43</v>
      </c>
      <c r="H4" s="100"/>
      <c r="I4" s="109"/>
      <c r="K4" s="100" t="s">
        <v>43</v>
      </c>
      <c r="L4" s="100"/>
    </row>
    <row r="5" spans="2:17">
      <c r="B5">
        <v>2020</v>
      </c>
      <c r="C5" s="111">
        <f>'2020a'!B39</f>
        <v>494856</v>
      </c>
      <c r="D5" s="111"/>
      <c r="E5" s="84"/>
      <c r="G5" s="107">
        <f>'2020b'!B39</f>
        <v>476940</v>
      </c>
      <c r="H5" s="107"/>
      <c r="I5" s="84"/>
      <c r="K5" s="107">
        <f>'2020c'!B39</f>
        <v>434210.0000000096</v>
      </c>
      <c r="L5" s="107"/>
      <c r="O5" s="118" t="s">
        <v>52</v>
      </c>
      <c r="P5" s="118"/>
      <c r="Q5" s="118"/>
    </row>
    <row r="6" spans="2:17">
      <c r="E6" s="84"/>
      <c r="I6" s="84"/>
      <c r="O6" s="118"/>
      <c r="P6" s="118"/>
      <c r="Q6" s="118"/>
    </row>
    <row r="7" spans="2:17">
      <c r="B7">
        <v>2021</v>
      </c>
      <c r="C7" s="111">
        <f>'2021a'!B39</f>
        <v>722304</v>
      </c>
      <c r="D7" s="111"/>
      <c r="G7" s="107">
        <f>'2021b'!B39</f>
        <v>510421.00000003399</v>
      </c>
      <c r="H7" s="107"/>
      <c r="K7" s="107">
        <f>'2021c'!B39</f>
        <v>576076</v>
      </c>
      <c r="L7" s="107"/>
      <c r="O7" s="118"/>
      <c r="P7" s="118"/>
      <c r="Q7" s="118"/>
    </row>
    <row r="8" spans="2:17">
      <c r="O8" s="118"/>
      <c r="P8" s="118"/>
      <c r="Q8" s="118"/>
    </row>
    <row r="9" spans="2:17">
      <c r="B9">
        <v>2022</v>
      </c>
      <c r="C9" s="111">
        <f>'2022a'!B39</f>
        <v>830755.5</v>
      </c>
      <c r="D9" s="111"/>
      <c r="G9" s="107">
        <f>'2022b'!B39</f>
        <v>546006</v>
      </c>
      <c r="H9" s="107"/>
      <c r="K9" s="107">
        <f>'2022c'!B39</f>
        <v>608690.00000000442</v>
      </c>
      <c r="L9" s="107"/>
      <c r="O9" s="118"/>
      <c r="P9" s="118"/>
      <c r="Q9" s="118"/>
    </row>
    <row r="11" spans="2:17">
      <c r="B11" s="101" t="s">
        <v>51</v>
      </c>
      <c r="C11" s="112">
        <f>C5+C7+C9</f>
        <v>2047915.5</v>
      </c>
      <c r="G11" s="112">
        <f>G5+G7+G9</f>
        <v>1533367.000000034</v>
      </c>
      <c r="K11" s="112">
        <f>K5+K7+K9</f>
        <v>1618976.000000014</v>
      </c>
    </row>
  </sheetData>
  <mergeCells count="16">
    <mergeCell ref="O5:Q9"/>
    <mergeCell ref="C7:D7"/>
    <mergeCell ref="C9:D9"/>
    <mergeCell ref="G7:H7"/>
    <mergeCell ref="G9:H9"/>
    <mergeCell ref="K7:L7"/>
    <mergeCell ref="K9:L9"/>
    <mergeCell ref="C5:D5"/>
    <mergeCell ref="G5:H5"/>
    <mergeCell ref="K5:L5"/>
    <mergeCell ref="J2:L2"/>
    <mergeCell ref="F2:H2"/>
    <mergeCell ref="B2:D2"/>
    <mergeCell ref="C4:D4"/>
    <mergeCell ref="G4:H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activeCell="B4" sqref="B4:I8"/>
    </sheetView>
  </sheetViews>
  <sheetFormatPr defaultColWidth="9" defaultRowHeight="15"/>
  <cols>
    <col min="1" max="1" width="22.28515625" customWidth="1"/>
    <col min="2" max="2" width="13" customWidth="1"/>
  </cols>
  <sheetData>
    <row r="1" spans="1:20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0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20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20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20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20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20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  <c r="P7" s="98" t="s">
        <v>6</v>
      </c>
      <c r="Q7" s="98" t="s">
        <v>7</v>
      </c>
      <c r="R7" s="99">
        <v>2020</v>
      </c>
      <c r="S7" s="99">
        <v>2021</v>
      </c>
      <c r="T7" s="99">
        <v>2022</v>
      </c>
    </row>
    <row r="8" spans="1:20" ht="15.75" thickBot="1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  <c r="P8" s="99"/>
      <c r="Q8" s="99"/>
      <c r="R8" s="99"/>
      <c r="S8" s="99"/>
      <c r="T8" s="99"/>
    </row>
    <row r="9" spans="1:20" ht="15.75" thickBot="1">
      <c r="A9" s="22" t="s">
        <v>23</v>
      </c>
      <c r="B9" s="115">
        <v>10206</v>
      </c>
      <c r="C9" s="116">
        <v>6192</v>
      </c>
      <c r="D9" s="116">
        <v>317</v>
      </c>
      <c r="E9" s="116">
        <v>3354</v>
      </c>
      <c r="F9" s="116">
        <v>2189</v>
      </c>
      <c r="G9" s="116">
        <v>8250</v>
      </c>
      <c r="H9" s="116">
        <v>666</v>
      </c>
      <c r="I9" s="117">
        <v>508</v>
      </c>
      <c r="J9" s="59" t="s">
        <v>24</v>
      </c>
      <c r="K9" s="25"/>
      <c r="L9" s="59" t="s">
        <v>24</v>
      </c>
      <c r="P9" s="79" t="s">
        <v>18</v>
      </c>
      <c r="Q9" s="80">
        <v>5670</v>
      </c>
      <c r="R9" s="81">
        <f t="shared" ref="R9:R16" si="0">Q9*1.8</f>
        <v>10206</v>
      </c>
      <c r="S9" s="81">
        <f t="shared" ref="S9:S16" si="1">R9*1.5</f>
        <v>15309</v>
      </c>
      <c r="T9" s="82">
        <f t="shared" ref="T9:T16" si="2">S9*1.2</f>
        <v>18370.8</v>
      </c>
    </row>
    <row r="10" spans="1:20" ht="15.75" thickBot="1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  <c r="P10" s="79" t="s">
        <v>10</v>
      </c>
      <c r="Q10" s="83">
        <v>3440</v>
      </c>
      <c r="R10" s="84">
        <f t="shared" si="0"/>
        <v>6192</v>
      </c>
      <c r="S10" s="84">
        <f t="shared" si="1"/>
        <v>9288</v>
      </c>
      <c r="T10" s="85">
        <f t="shared" si="2"/>
        <v>11145.6</v>
      </c>
    </row>
    <row r="11" spans="1:20">
      <c r="P11" s="79" t="s">
        <v>11</v>
      </c>
      <c r="Q11" s="83">
        <v>176</v>
      </c>
      <c r="R11" s="84">
        <f t="shared" si="0"/>
        <v>316.8</v>
      </c>
      <c r="S11" s="84">
        <f t="shared" si="1"/>
        <v>475.20000000000005</v>
      </c>
      <c r="T11" s="85">
        <f t="shared" si="2"/>
        <v>570.24</v>
      </c>
    </row>
    <row r="12" spans="1:20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P12" s="79" t="s">
        <v>12</v>
      </c>
      <c r="Q12" s="83">
        <v>1863</v>
      </c>
      <c r="R12" s="84">
        <f t="shared" si="0"/>
        <v>3353.4</v>
      </c>
      <c r="S12" s="84">
        <f t="shared" si="1"/>
        <v>5030.1000000000004</v>
      </c>
      <c r="T12" s="85">
        <f t="shared" si="2"/>
        <v>6036.12</v>
      </c>
    </row>
    <row r="13" spans="1:20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  <c r="M13" s="87"/>
      <c r="P13" s="79" t="s">
        <v>13</v>
      </c>
      <c r="Q13" s="83">
        <v>1216</v>
      </c>
      <c r="R13" s="84">
        <f t="shared" si="0"/>
        <v>2188.8000000000002</v>
      </c>
      <c r="S13" s="84">
        <f t="shared" si="1"/>
        <v>3283.2000000000003</v>
      </c>
      <c r="T13" s="85">
        <f t="shared" si="2"/>
        <v>3939.84</v>
      </c>
    </row>
    <row r="14" spans="1:20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  <c r="P14" s="79" t="s">
        <v>14</v>
      </c>
      <c r="Q14" s="83">
        <v>4583</v>
      </c>
      <c r="R14" s="84">
        <f t="shared" si="0"/>
        <v>8249.4</v>
      </c>
      <c r="S14" s="84">
        <f t="shared" si="1"/>
        <v>12374.099999999999</v>
      </c>
      <c r="T14" s="85">
        <f t="shared" si="2"/>
        <v>14848.919999999998</v>
      </c>
    </row>
    <row r="15" spans="1:20">
      <c r="A15" s="13" t="s">
        <v>17</v>
      </c>
      <c r="B15" s="26">
        <v>10206</v>
      </c>
      <c r="C15" s="27">
        <v>6192</v>
      </c>
      <c r="D15" s="27">
        <v>317</v>
      </c>
      <c r="E15" s="27">
        <v>3354</v>
      </c>
      <c r="F15" s="27">
        <v>2189</v>
      </c>
      <c r="G15" s="27">
        <v>8250</v>
      </c>
      <c r="H15" s="27">
        <v>666</v>
      </c>
      <c r="I15" s="65">
        <v>508</v>
      </c>
      <c r="J15" s="66">
        <v>0</v>
      </c>
      <c r="K15" s="67">
        <v>2</v>
      </c>
      <c r="L15" s="68">
        <f>SUM(B15:I15)</f>
        <v>31682</v>
      </c>
      <c r="P15" s="79" t="s">
        <v>15</v>
      </c>
      <c r="Q15" s="83">
        <v>370</v>
      </c>
      <c r="R15" s="84">
        <f t="shared" si="0"/>
        <v>666</v>
      </c>
      <c r="S15" s="84">
        <f t="shared" si="1"/>
        <v>999</v>
      </c>
      <c r="T15" s="85">
        <f t="shared" si="2"/>
        <v>1198.8</v>
      </c>
    </row>
    <row r="16" spans="1:20">
      <c r="A16" s="16" t="s">
        <v>19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69">
        <v>0</v>
      </c>
      <c r="J16" s="70">
        <v>0</v>
      </c>
      <c r="K16" s="71">
        <v>0</v>
      </c>
      <c r="L16" s="68">
        <f>SUM(B16:I16)</f>
        <v>0</v>
      </c>
      <c r="P16" s="79" t="s">
        <v>16</v>
      </c>
      <c r="Q16" s="86">
        <v>282</v>
      </c>
      <c r="R16" s="84">
        <f t="shared" si="0"/>
        <v>507.6</v>
      </c>
      <c r="S16" s="84">
        <f t="shared" si="1"/>
        <v>761.40000000000009</v>
      </c>
      <c r="T16" s="85">
        <f t="shared" si="2"/>
        <v>913.68000000000006</v>
      </c>
    </row>
    <row r="17" spans="1:12">
      <c r="A17" s="16" t="s">
        <v>20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69">
        <v>0</v>
      </c>
      <c r="J17" s="70">
        <v>0</v>
      </c>
      <c r="K17" s="71">
        <v>0</v>
      </c>
      <c r="L17" s="68">
        <f>SUM(B17:I17)</f>
        <v>0</v>
      </c>
    </row>
    <row r="18" spans="1:12">
      <c r="A18" s="16" t="s">
        <v>21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69">
        <v>0</v>
      </c>
      <c r="J18" s="70">
        <v>0</v>
      </c>
      <c r="K18" s="71">
        <v>0</v>
      </c>
      <c r="L18" s="68">
        <f>SUM(B18:I18)</f>
        <v>0</v>
      </c>
    </row>
    <row r="19" spans="1:12">
      <c r="A19" s="19" t="s">
        <v>22</v>
      </c>
      <c r="B19" s="30"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72">
        <v>0</v>
      </c>
      <c r="J19" s="73">
        <v>0</v>
      </c>
      <c r="K19" s="74">
        <v>0</v>
      </c>
      <c r="L19" s="68">
        <f>SUM(B19:I19)</f>
        <v>0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8318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/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/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/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/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3">B9-SUM(B15:B19)</f>
        <v>0</v>
      </c>
      <c r="C29" s="42">
        <f t="shared" si="3"/>
        <v>0</v>
      </c>
      <c r="D29" s="42">
        <f t="shared" si="3"/>
        <v>0</v>
      </c>
      <c r="E29" s="42">
        <f t="shared" si="3"/>
        <v>0</v>
      </c>
      <c r="F29" s="42">
        <f t="shared" si="3"/>
        <v>0</v>
      </c>
      <c r="G29" s="42">
        <f t="shared" si="3"/>
        <v>0</v>
      </c>
      <c r="H29" s="42">
        <f t="shared" si="3"/>
        <v>0</v>
      </c>
      <c r="I29" s="42">
        <f t="shared" si="3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100000</v>
      </c>
    </row>
    <row r="33" spans="1:2">
      <c r="A33" s="45" t="s">
        <v>36</v>
      </c>
      <c r="B33" s="46">
        <f>SUMPRODUCT(B15:I19,B4:I8)-15*SUM(L15:L19)</f>
        <v>25559</v>
      </c>
    </row>
    <row r="34" spans="1:2">
      <c r="A34" s="45" t="s">
        <v>37</v>
      </c>
      <c r="B34" s="46">
        <f>SUMPRODUCT(L15:L19,K4:K8)</f>
        <v>63364</v>
      </c>
    </row>
    <row r="35" spans="1:2">
      <c r="A35" s="22" t="s">
        <v>38</v>
      </c>
      <c r="B35" s="47">
        <f>50000*SUM(J15:K19)+6.5*SUM(L15:L19)</f>
        <v>305933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494856</v>
      </c>
    </row>
  </sheetData>
  <mergeCells count="10">
    <mergeCell ref="P7:P8"/>
    <mergeCell ref="Q7:Q8"/>
    <mergeCell ref="R7:R8"/>
    <mergeCell ref="S7:S8"/>
    <mergeCell ref="T7:T8"/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9"/>
  <sheetViews>
    <sheetView workbookViewId="0">
      <selection activeCell="B4" sqref="B4:I8"/>
    </sheetView>
  </sheetViews>
  <sheetFormatPr defaultColWidth="9" defaultRowHeight="15"/>
  <cols>
    <col min="2" max="2" width="12.85546875" customWidth="1"/>
    <col min="10" max="10" width="10.140625"/>
    <col min="11" max="11" width="11.140625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10206</v>
      </c>
      <c r="C9" s="24">
        <v>6192</v>
      </c>
      <c r="D9" s="24">
        <v>317</v>
      </c>
      <c r="E9" s="24">
        <v>3354</v>
      </c>
      <c r="F9" s="24">
        <v>2189</v>
      </c>
      <c r="G9" s="24">
        <v>8250</v>
      </c>
      <c r="H9" s="24">
        <v>666</v>
      </c>
      <c r="I9" s="24">
        <v>508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2.7256294351905E-14</v>
      </c>
      <c r="C15" s="27">
        <v>1.18867918831648E-14</v>
      </c>
      <c r="D15" s="27">
        <v>1.4765178066173398E-14</v>
      </c>
      <c r="E15" s="27">
        <v>1.8548514346011002E-15</v>
      </c>
      <c r="F15" s="27">
        <v>8.1459839590472303E-15</v>
      </c>
      <c r="G15" s="27">
        <v>8250</v>
      </c>
      <c r="H15" s="27">
        <v>666</v>
      </c>
      <c r="I15" s="65">
        <v>507.99999999999898</v>
      </c>
      <c r="J15" s="66">
        <v>0</v>
      </c>
      <c r="K15" s="67">
        <v>1</v>
      </c>
      <c r="L15" s="68">
        <f t="shared" ref="L15:L19" si="0">SUM(B15:I15)</f>
        <v>9423.9999999999982</v>
      </c>
    </row>
    <row r="16" spans="1:12">
      <c r="A16" s="16" t="s">
        <v>19</v>
      </c>
      <c r="B16" s="28">
        <v>10206</v>
      </c>
      <c r="C16" s="29">
        <v>1.14843335145399E-14</v>
      </c>
      <c r="D16" s="29">
        <v>5.7884214993858797E-15</v>
      </c>
      <c r="E16" s="29">
        <v>1.33800070367344E-15</v>
      </c>
      <c r="F16" s="29">
        <v>3.5067569307260999E-15</v>
      </c>
      <c r="G16" s="29">
        <v>5.5331160780711201E-15</v>
      </c>
      <c r="H16" s="29">
        <v>4.8710088450472903E-15</v>
      </c>
      <c r="I16" s="69">
        <v>8.4764616565031104E-13</v>
      </c>
      <c r="J16" s="70">
        <v>0</v>
      </c>
      <c r="K16" s="71">
        <v>1</v>
      </c>
      <c r="L16" s="68">
        <f t="shared" si="0"/>
        <v>10206</v>
      </c>
    </row>
    <row r="17" spans="1:12">
      <c r="A17" s="16" t="s">
        <v>20</v>
      </c>
      <c r="B17" s="28">
        <v>1.2040292097740901E-14</v>
      </c>
      <c r="C17" s="29">
        <v>6192</v>
      </c>
      <c r="D17" s="29">
        <v>1.04538283433013E-14</v>
      </c>
      <c r="E17" s="29">
        <v>1.2509965936155099E-15</v>
      </c>
      <c r="F17" s="29">
        <v>2.9650226737588502E-15</v>
      </c>
      <c r="G17" s="29">
        <v>2.7137912590086701E-15</v>
      </c>
      <c r="H17" s="29">
        <v>2.2640263344813398E-15</v>
      </c>
      <c r="I17" s="69">
        <v>1.07707980593292E-13</v>
      </c>
      <c r="J17" s="70">
        <v>1</v>
      </c>
      <c r="K17" s="71">
        <v>0</v>
      </c>
      <c r="L17" s="68">
        <f t="shared" si="0"/>
        <v>6192</v>
      </c>
    </row>
    <row r="18" spans="1:12">
      <c r="A18" s="16" t="s">
        <v>21</v>
      </c>
      <c r="B18" s="28">
        <v>5.3024668349053999E-15</v>
      </c>
      <c r="C18" s="29">
        <v>2.7114105659583399E-14</v>
      </c>
      <c r="D18" s="29">
        <v>317</v>
      </c>
      <c r="E18" s="29">
        <v>2.9318164159746399E-15</v>
      </c>
      <c r="F18" s="29">
        <v>2189</v>
      </c>
      <c r="G18" s="29">
        <v>1.01951268101174E-14</v>
      </c>
      <c r="H18" s="29">
        <v>5.2962459616671896E-15</v>
      </c>
      <c r="I18" s="69">
        <v>1.6568462294072099E-13</v>
      </c>
      <c r="J18" s="70">
        <v>1</v>
      </c>
      <c r="K18" s="71">
        <v>0</v>
      </c>
      <c r="L18" s="68">
        <f t="shared" si="0"/>
        <v>2506</v>
      </c>
    </row>
    <row r="19" spans="1:12">
      <c r="A19" s="19" t="s">
        <v>22</v>
      </c>
      <c r="B19" s="30">
        <v>1.11181240826282E-15</v>
      </c>
      <c r="C19" s="31">
        <v>2.1919435659278799E-15</v>
      </c>
      <c r="D19" s="31">
        <v>2.8499125965585701E-14</v>
      </c>
      <c r="E19" s="31">
        <v>3354</v>
      </c>
      <c r="F19" s="31">
        <v>2.5130208823055602E-15</v>
      </c>
      <c r="G19" s="31">
        <v>1.2270049685170899E-15</v>
      </c>
      <c r="H19" s="31">
        <v>1.18448910416296E-15</v>
      </c>
      <c r="I19" s="72">
        <v>7.8041897927083208E-15</v>
      </c>
      <c r="J19" s="73">
        <v>1</v>
      </c>
      <c r="K19" s="74">
        <v>0</v>
      </c>
      <c r="L19" s="68">
        <f t="shared" si="0"/>
        <v>3354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10576.000000000002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9794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3808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7494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6646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0</v>
      </c>
      <c r="C29" s="42">
        <f t="shared" si="1"/>
        <v>0</v>
      </c>
      <c r="D29" s="42">
        <f t="shared" si="1"/>
        <v>0</v>
      </c>
      <c r="E29" s="42">
        <f t="shared" si="1"/>
        <v>0</v>
      </c>
      <c r="F29" s="42">
        <f t="shared" si="1"/>
        <v>0</v>
      </c>
      <c r="G29" s="42">
        <f t="shared" si="1"/>
        <v>0</v>
      </c>
      <c r="H29" s="42">
        <f t="shared" si="1"/>
        <v>0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160000</v>
      </c>
    </row>
    <row r="33" spans="1:2">
      <c r="A33" s="45" t="s">
        <v>36</v>
      </c>
      <c r="B33" s="46">
        <f>SUMPRODUCT(B15:I19,B4:I8)-15*SUM(L15:L19)</f>
        <v>-211052</v>
      </c>
    </row>
    <row r="34" spans="1:2">
      <c r="A34" s="45" t="s">
        <v>37</v>
      </c>
      <c r="B34" s="46">
        <f>SUMPRODUCT(L15:L19,K4:K8)</f>
        <v>72059</v>
      </c>
    </row>
    <row r="35" spans="1:2">
      <c r="A35" s="22" t="s">
        <v>38</v>
      </c>
      <c r="B35" s="47">
        <f>50000*SUM(J15:K19)+6.5*SUM(L15:L19)</f>
        <v>455933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476940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9"/>
  <sheetViews>
    <sheetView workbookViewId="0">
      <selection activeCell="B4" sqref="B4:I8"/>
    </sheetView>
  </sheetViews>
  <sheetFormatPr defaultColWidth="9" defaultRowHeight="15"/>
  <cols>
    <col min="2" max="2" width="13.28515625" customWidth="1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10206</v>
      </c>
      <c r="C9" s="24">
        <v>6192</v>
      </c>
      <c r="D9" s="24">
        <v>317</v>
      </c>
      <c r="E9" s="24">
        <v>3354</v>
      </c>
      <c r="F9" s="24">
        <v>2189</v>
      </c>
      <c r="G9" s="24">
        <v>8250</v>
      </c>
      <c r="H9" s="24">
        <v>666</v>
      </c>
      <c r="I9" s="24">
        <v>508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1.9760943958660201E-17</v>
      </c>
      <c r="C15" s="27">
        <v>1.97697738596676E-17</v>
      </c>
      <c r="D15" s="27">
        <v>0</v>
      </c>
      <c r="E15" s="27">
        <v>1.9746709946558801E-17</v>
      </c>
      <c r="F15" s="27">
        <v>1.9763621902579E-17</v>
      </c>
      <c r="G15" s="27">
        <v>1.9769415846366501E-17</v>
      </c>
      <c r="H15" s="27">
        <v>1.9770692585101699E-17</v>
      </c>
      <c r="I15" s="65">
        <v>1.9759794209112699E-17</v>
      </c>
      <c r="J15" s="66">
        <v>0</v>
      </c>
      <c r="K15" s="67">
        <v>0</v>
      </c>
      <c r="L15" s="68">
        <f t="shared" ref="L15:L19" si="0">SUM(B15:I15)</f>
        <v>1.383409523080465E-16</v>
      </c>
    </row>
    <row r="16" spans="1:12">
      <c r="A16" s="16" t="s">
        <v>19</v>
      </c>
      <c r="B16" s="28">
        <v>10205.9999999999</v>
      </c>
      <c r="C16" s="29">
        <v>5.8498749901369201E-11</v>
      </c>
      <c r="D16" s="29">
        <v>0</v>
      </c>
      <c r="E16" s="29">
        <v>1.8132245784949501E-11</v>
      </c>
      <c r="F16" s="29">
        <v>3.4468126626438498E-11</v>
      </c>
      <c r="G16" s="29">
        <v>8.3147913145740198E-11</v>
      </c>
      <c r="H16" s="29">
        <v>3.5154274679655898E-10</v>
      </c>
      <c r="I16" s="69">
        <v>507.99999999990899</v>
      </c>
      <c r="J16" s="70">
        <v>0</v>
      </c>
      <c r="K16" s="71">
        <v>1</v>
      </c>
      <c r="L16" s="68">
        <f t="shared" si="0"/>
        <v>10714.000000000355</v>
      </c>
    </row>
    <row r="17" spans="1:12">
      <c r="A17" s="16" t="s">
        <v>20</v>
      </c>
      <c r="B17" s="28">
        <v>3.9659174344764598E-11</v>
      </c>
      <c r="C17" s="29">
        <v>6191.9999999998299</v>
      </c>
      <c r="D17" s="29">
        <v>0</v>
      </c>
      <c r="E17" s="29">
        <v>1.6975286858991699E-11</v>
      </c>
      <c r="F17" s="29">
        <v>3.1912013840235398E-11</v>
      </c>
      <c r="G17" s="29">
        <v>3.9743537016201699E-11</v>
      </c>
      <c r="H17" s="29">
        <v>4.3008460394751298E-11</v>
      </c>
      <c r="I17" s="69">
        <v>3.8345255940822901E-11</v>
      </c>
      <c r="J17" s="70">
        <v>1</v>
      </c>
      <c r="K17" s="71">
        <v>0</v>
      </c>
      <c r="L17" s="68">
        <f t="shared" si="0"/>
        <v>6192.00000000004</v>
      </c>
    </row>
    <row r="18" spans="1:12">
      <c r="A18" s="16" t="s">
        <v>21</v>
      </c>
      <c r="B18" s="28">
        <v>3.7941375426483602E-11</v>
      </c>
      <c r="C18" s="29">
        <v>8.5134308734906702E-11</v>
      </c>
      <c r="D18" s="29">
        <v>317</v>
      </c>
      <c r="E18" s="29">
        <v>1.301371083162E-11</v>
      </c>
      <c r="F18" s="29">
        <v>2188.9999999999</v>
      </c>
      <c r="G18" s="29">
        <v>8249.9999999998709</v>
      </c>
      <c r="H18" s="29">
        <v>665.99999999958402</v>
      </c>
      <c r="I18" s="69">
        <v>3.8081117719334799E-11</v>
      </c>
      <c r="J18" s="70">
        <v>0</v>
      </c>
      <c r="K18" s="71">
        <v>1</v>
      </c>
      <c r="L18" s="68">
        <f t="shared" si="0"/>
        <v>11421.999999999529</v>
      </c>
    </row>
    <row r="19" spans="1:12">
      <c r="A19" s="19" t="s">
        <v>22</v>
      </c>
      <c r="B19" s="30">
        <v>1.37603863138789E-11</v>
      </c>
      <c r="C19" s="31">
        <v>2.5117555082239499E-11</v>
      </c>
      <c r="D19" s="31">
        <v>0</v>
      </c>
      <c r="E19" s="31">
        <v>3353.99999999995</v>
      </c>
      <c r="F19" s="31">
        <v>2.9060128164091102E-11</v>
      </c>
      <c r="G19" s="31">
        <v>1.91196255101179E-11</v>
      </c>
      <c r="H19" s="31">
        <v>2.1014267102306E-11</v>
      </c>
      <c r="I19" s="72">
        <v>1.4943616883608999E-11</v>
      </c>
      <c r="J19" s="73">
        <v>1</v>
      </c>
      <c r="K19" s="74">
        <v>0</v>
      </c>
      <c r="L19" s="68">
        <f t="shared" si="0"/>
        <v>3354.0000000000728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-1.383409523080465E-16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9285.9999999996453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3807.99999999996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8578.0000000004711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6645.9999999999272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0</v>
      </c>
      <c r="C29" s="42">
        <f t="shared" si="1"/>
        <v>0</v>
      </c>
      <c r="D29" s="42">
        <f t="shared" si="1"/>
        <v>0</v>
      </c>
      <c r="E29" s="42">
        <f t="shared" si="1"/>
        <v>0</v>
      </c>
      <c r="F29" s="42">
        <f t="shared" si="1"/>
        <v>4.5474735088646412E-12</v>
      </c>
      <c r="G29" s="42">
        <f t="shared" si="1"/>
        <v>-1.4551915228366852E-11</v>
      </c>
      <c r="H29" s="42">
        <f t="shared" si="1"/>
        <v>0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125500</v>
      </c>
    </row>
    <row r="33" spans="1:2">
      <c r="A33" s="45" t="s">
        <v>36</v>
      </c>
      <c r="B33" s="46">
        <f>SUMPRODUCT(B15:I19,B4:I8)-15*SUM(L15:L19)</f>
        <v>-165331.99999999086</v>
      </c>
    </row>
    <row r="34" spans="1:2">
      <c r="A34" s="45" t="s">
        <v>37</v>
      </c>
      <c r="B34" s="46">
        <f>SUMPRODUCT(L15:L19,K4:K8)</f>
        <v>68109.000000000524</v>
      </c>
    </row>
    <row r="35" spans="1:2">
      <c r="A35" s="22" t="s">
        <v>38</v>
      </c>
      <c r="B35" s="47">
        <f>50000*SUM(J15:K19)+6.5*SUM(L15:L19)</f>
        <v>405932.99999999994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434210.0000000096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9"/>
  <sheetViews>
    <sheetView workbookViewId="0">
      <selection activeCell="B4" sqref="B4:I8"/>
    </sheetView>
  </sheetViews>
  <sheetFormatPr defaultColWidth="9" defaultRowHeight="15"/>
  <cols>
    <col min="2" max="2" width="12.7109375" customWidth="1"/>
  </cols>
  <sheetData>
    <row r="1" spans="1:20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0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20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20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20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20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20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  <c r="P7" s="98" t="s">
        <v>6</v>
      </c>
      <c r="Q7" s="98" t="s">
        <v>7</v>
      </c>
      <c r="R7" s="99">
        <v>2020</v>
      </c>
      <c r="S7" s="99">
        <v>2021</v>
      </c>
      <c r="T7" s="99">
        <v>2022</v>
      </c>
    </row>
    <row r="8" spans="1:20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  <c r="P8" s="99"/>
      <c r="Q8" s="99"/>
      <c r="R8" s="99"/>
      <c r="S8" s="99"/>
      <c r="T8" s="99"/>
    </row>
    <row r="9" spans="1:20">
      <c r="A9" s="22" t="s">
        <v>23</v>
      </c>
      <c r="B9" s="23">
        <v>15309</v>
      </c>
      <c r="C9" s="24">
        <v>9288</v>
      </c>
      <c r="D9" s="24">
        <v>476</v>
      </c>
      <c r="E9" s="24">
        <v>5031</v>
      </c>
      <c r="F9" s="24">
        <v>3284</v>
      </c>
      <c r="G9" s="24">
        <v>12375</v>
      </c>
      <c r="H9" s="24">
        <v>999</v>
      </c>
      <c r="I9" s="24">
        <v>762</v>
      </c>
      <c r="J9" s="59" t="s">
        <v>24</v>
      </c>
      <c r="K9" s="25"/>
      <c r="L9" s="59" t="s">
        <v>24</v>
      </c>
      <c r="P9" s="79" t="s">
        <v>18</v>
      </c>
      <c r="Q9" s="80">
        <v>5670</v>
      </c>
      <c r="R9" s="81">
        <f t="shared" ref="R9:R16" si="0">Q9*1.8</f>
        <v>10206</v>
      </c>
      <c r="S9" s="81">
        <f t="shared" ref="S9:S16" si="1">R9*1.5</f>
        <v>15309</v>
      </c>
      <c r="T9" s="82">
        <f t="shared" ref="T9:T16" si="2">S9*1.2</f>
        <v>18370.8</v>
      </c>
    </row>
    <row r="10" spans="1:20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  <c r="P10" s="79" t="s">
        <v>10</v>
      </c>
      <c r="Q10" s="83">
        <v>3440</v>
      </c>
      <c r="R10" s="84">
        <f t="shared" si="0"/>
        <v>6192</v>
      </c>
      <c r="S10" s="84">
        <f t="shared" si="1"/>
        <v>9288</v>
      </c>
      <c r="T10" s="85">
        <f t="shared" si="2"/>
        <v>11145.6</v>
      </c>
    </row>
    <row r="11" spans="1:20">
      <c r="P11" s="79" t="s">
        <v>11</v>
      </c>
      <c r="Q11" s="83">
        <v>176</v>
      </c>
      <c r="R11" s="84">
        <f t="shared" si="0"/>
        <v>316.8</v>
      </c>
      <c r="S11" s="84">
        <f t="shared" si="1"/>
        <v>475.20000000000005</v>
      </c>
      <c r="T11" s="85">
        <f t="shared" si="2"/>
        <v>570.24</v>
      </c>
    </row>
    <row r="12" spans="1:20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P12" s="79" t="s">
        <v>12</v>
      </c>
      <c r="Q12" s="83">
        <v>1863</v>
      </c>
      <c r="R12" s="84">
        <f t="shared" si="0"/>
        <v>3353.4</v>
      </c>
      <c r="S12" s="84">
        <f t="shared" si="1"/>
        <v>5030.1000000000004</v>
      </c>
      <c r="T12" s="85">
        <f t="shared" si="2"/>
        <v>6036.12</v>
      </c>
    </row>
    <row r="13" spans="1:20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  <c r="P13" s="79" t="s">
        <v>13</v>
      </c>
      <c r="Q13" s="83">
        <v>1216</v>
      </c>
      <c r="R13" s="84">
        <f t="shared" si="0"/>
        <v>2188.8000000000002</v>
      </c>
      <c r="S13" s="84">
        <f t="shared" si="1"/>
        <v>3283.2000000000003</v>
      </c>
      <c r="T13" s="85">
        <f t="shared" si="2"/>
        <v>3939.84</v>
      </c>
    </row>
    <row r="14" spans="1:20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  <c r="P14" s="79" t="s">
        <v>14</v>
      </c>
      <c r="Q14" s="83">
        <v>4583</v>
      </c>
      <c r="R14" s="84">
        <f t="shared" si="0"/>
        <v>8249.4</v>
      </c>
      <c r="S14" s="84">
        <f t="shared" si="1"/>
        <v>12374.099999999999</v>
      </c>
      <c r="T14" s="85">
        <f t="shared" si="2"/>
        <v>14848.919999999998</v>
      </c>
    </row>
    <row r="15" spans="1:20">
      <c r="A15" s="13" t="s">
        <v>17</v>
      </c>
      <c r="B15" s="26">
        <v>15309</v>
      </c>
      <c r="C15" s="27">
        <v>9288</v>
      </c>
      <c r="D15" s="27">
        <v>476</v>
      </c>
      <c r="E15" s="27">
        <v>5031</v>
      </c>
      <c r="F15" s="27">
        <v>3284</v>
      </c>
      <c r="G15" s="27">
        <v>12375</v>
      </c>
      <c r="H15" s="27">
        <v>999</v>
      </c>
      <c r="I15" s="65">
        <v>762</v>
      </c>
      <c r="J15" s="66">
        <v>1</v>
      </c>
      <c r="K15" s="67">
        <v>2</v>
      </c>
      <c r="L15" s="68">
        <f t="shared" ref="L15:L19" si="3">SUM(B15:I15)</f>
        <v>47524</v>
      </c>
      <c r="P15" s="79" t="s">
        <v>15</v>
      </c>
      <c r="Q15" s="83">
        <v>370</v>
      </c>
      <c r="R15" s="84">
        <f t="shared" si="0"/>
        <v>666</v>
      </c>
      <c r="S15" s="84">
        <f t="shared" si="1"/>
        <v>999</v>
      </c>
      <c r="T15" s="85">
        <f t="shared" si="2"/>
        <v>1198.8</v>
      </c>
    </row>
    <row r="16" spans="1:20">
      <c r="A16" s="16" t="s">
        <v>19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69">
        <v>0</v>
      </c>
      <c r="J16" s="70">
        <v>0</v>
      </c>
      <c r="K16" s="71">
        <v>0</v>
      </c>
      <c r="L16" s="68">
        <f t="shared" si="3"/>
        <v>0</v>
      </c>
      <c r="P16" s="79" t="s">
        <v>16</v>
      </c>
      <c r="Q16" s="86">
        <v>282</v>
      </c>
      <c r="R16" s="84">
        <f t="shared" si="0"/>
        <v>507.6</v>
      </c>
      <c r="S16" s="84">
        <f t="shared" si="1"/>
        <v>761.40000000000009</v>
      </c>
      <c r="T16" s="85">
        <f t="shared" si="2"/>
        <v>913.68000000000006</v>
      </c>
    </row>
    <row r="17" spans="1:12">
      <c r="A17" s="16" t="s">
        <v>20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69">
        <v>0</v>
      </c>
      <c r="J17" s="70">
        <v>0</v>
      </c>
      <c r="K17" s="71">
        <v>0</v>
      </c>
      <c r="L17" s="68">
        <f t="shared" si="3"/>
        <v>0</v>
      </c>
    </row>
    <row r="18" spans="1:12">
      <c r="A18" s="16" t="s">
        <v>21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69">
        <v>0</v>
      </c>
      <c r="J18" s="70">
        <v>0</v>
      </c>
      <c r="K18" s="71">
        <v>0</v>
      </c>
      <c r="L18" s="68">
        <f t="shared" si="3"/>
        <v>0</v>
      </c>
    </row>
    <row r="19" spans="1:12">
      <c r="A19" s="19" t="s">
        <v>22</v>
      </c>
      <c r="B19" s="30"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72">
        <v>0</v>
      </c>
      <c r="J19" s="73">
        <v>0</v>
      </c>
      <c r="K19" s="74">
        <v>0</v>
      </c>
      <c r="L19" s="68">
        <f t="shared" si="3"/>
        <v>0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2476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0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0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0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0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4">B9-SUM(B15:B19)</f>
        <v>0</v>
      </c>
      <c r="C29" s="42">
        <f t="shared" si="4"/>
        <v>0</v>
      </c>
      <c r="D29" s="42">
        <f t="shared" si="4"/>
        <v>0</v>
      </c>
      <c r="E29" s="42">
        <f t="shared" si="4"/>
        <v>0</v>
      </c>
      <c r="F29" s="42">
        <f t="shared" si="4"/>
        <v>0</v>
      </c>
      <c r="G29" s="42">
        <f t="shared" si="4"/>
        <v>0</v>
      </c>
      <c r="H29" s="42">
        <f t="shared" si="4"/>
        <v>0</v>
      </c>
      <c r="I29" s="42">
        <f t="shared" si="4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130000</v>
      </c>
    </row>
    <row r="33" spans="1:2">
      <c r="A33" s="45" t="s">
        <v>36</v>
      </c>
      <c r="B33" s="46">
        <f>SUMPRODUCT(B15:I19,B4:I8)-15*SUM(L15:L19)</f>
        <v>38350</v>
      </c>
    </row>
    <row r="34" spans="1:2">
      <c r="A34" s="45" t="s">
        <v>37</v>
      </c>
      <c r="B34" s="46">
        <f>SUMPRODUCT(L15:L19,K4:K8)</f>
        <v>95048</v>
      </c>
    </row>
    <row r="35" spans="1:2">
      <c r="A35" s="22" t="s">
        <v>38</v>
      </c>
      <c r="B35" s="47">
        <f>50000*SUM(J15:K19)+6.5*SUM(L15:L19)</f>
        <v>458906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722304</v>
      </c>
    </row>
  </sheetData>
  <mergeCells count="10">
    <mergeCell ref="P7:P8"/>
    <mergeCell ref="Q7:Q8"/>
    <mergeCell ref="R7:R8"/>
    <mergeCell ref="S7:S8"/>
    <mergeCell ref="T7:T8"/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workbookViewId="0">
      <selection activeCell="B4" sqref="B4:I8"/>
    </sheetView>
  </sheetViews>
  <sheetFormatPr defaultColWidth="9" defaultRowHeight="15"/>
  <cols>
    <col min="2" max="2" width="13.85546875" customWidth="1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15309</v>
      </c>
      <c r="C9" s="24">
        <v>9288</v>
      </c>
      <c r="D9" s="24">
        <v>476</v>
      </c>
      <c r="E9" s="24">
        <v>5031</v>
      </c>
      <c r="F9" s="24">
        <v>3284</v>
      </c>
      <c r="G9" s="24">
        <v>12375</v>
      </c>
      <c r="H9" s="24">
        <v>999</v>
      </c>
      <c r="I9" s="24">
        <v>762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8.2532784935437697E-11</v>
      </c>
      <c r="C15" s="27">
        <v>2.9862749827223199E-10</v>
      </c>
      <c r="D15" s="27">
        <v>2.0064172838365299E-10</v>
      </c>
      <c r="E15" s="27">
        <v>4.0330789265695603E-11</v>
      </c>
      <c r="F15" s="27">
        <v>1.8780474160681099E-10</v>
      </c>
      <c r="G15" s="27">
        <v>12374.9999999996</v>
      </c>
      <c r="H15" s="27">
        <v>998.99999999966997</v>
      </c>
      <c r="I15" s="65">
        <v>761.99999999706995</v>
      </c>
      <c r="J15" s="66">
        <v>0</v>
      </c>
      <c r="K15" s="67">
        <v>1</v>
      </c>
      <c r="L15" s="68">
        <f t="shared" ref="L15:L19" si="0">SUM(B15:I15)</f>
        <v>14135.99999999715</v>
      </c>
    </row>
    <row r="16" spans="1:12">
      <c r="A16" s="16" t="s">
        <v>19</v>
      </c>
      <c r="B16" s="28">
        <v>15308.9999999997</v>
      </c>
      <c r="C16" s="29">
        <v>1.5540353480783799E-10</v>
      </c>
      <c r="D16" s="29">
        <v>1.13105670242566E-10</v>
      </c>
      <c r="E16" s="29">
        <v>4.3342527009386698E-11</v>
      </c>
      <c r="F16" s="29">
        <v>1.01076141414155E-10</v>
      </c>
      <c r="G16" s="29">
        <v>1.20459432650878E-10</v>
      </c>
      <c r="H16" s="29">
        <v>1.10635423884026E-10</v>
      </c>
      <c r="I16" s="69">
        <v>2.6685128027772899E-9</v>
      </c>
      <c r="J16" s="70">
        <v>0</v>
      </c>
      <c r="K16" s="71">
        <v>1</v>
      </c>
      <c r="L16" s="68">
        <f t="shared" si="0"/>
        <v>15309.000000003012</v>
      </c>
    </row>
    <row r="17" spans="1:12">
      <c r="A17" s="16" t="s">
        <v>20</v>
      </c>
      <c r="B17" s="28">
        <v>1.0948568711122501E-10</v>
      </c>
      <c r="C17" s="29">
        <v>9287.9999999992597</v>
      </c>
      <c r="D17" s="29">
        <v>1.6736137530091301E-10</v>
      </c>
      <c r="E17" s="29">
        <v>4.2115617373080902E-11</v>
      </c>
      <c r="F17" s="29">
        <v>8.7147208239102703E-11</v>
      </c>
      <c r="G17" s="29">
        <v>6.85617497901713E-11</v>
      </c>
      <c r="H17" s="29">
        <v>6.0707523433418706E-11</v>
      </c>
      <c r="I17" s="69">
        <v>1.0260730735526299E-10</v>
      </c>
      <c r="J17" s="70">
        <v>1</v>
      </c>
      <c r="K17" s="71">
        <v>0</v>
      </c>
      <c r="L17" s="68">
        <f t="shared" si="0"/>
        <v>9287.9999999998963</v>
      </c>
    </row>
    <row r="18" spans="1:12">
      <c r="A18" s="16" t="s">
        <v>21</v>
      </c>
      <c r="B18" s="28">
        <v>9.3549724234775104E-11</v>
      </c>
      <c r="C18" s="29">
        <v>2.0804755730414599E-10</v>
      </c>
      <c r="D18" s="29">
        <v>475.99999999927002</v>
      </c>
      <c r="E18" s="29">
        <v>7.7574752909348095E-11</v>
      </c>
      <c r="F18" s="29">
        <v>3283.9999999995498</v>
      </c>
      <c r="G18" s="29">
        <v>1.45536416800579E-10</v>
      </c>
      <c r="H18" s="29">
        <v>1.1583176711766E-10</v>
      </c>
      <c r="I18" s="69">
        <v>1.18861848884483E-10</v>
      </c>
      <c r="J18" s="70">
        <v>1</v>
      </c>
      <c r="K18" s="71">
        <v>0</v>
      </c>
      <c r="L18" s="68">
        <f t="shared" si="0"/>
        <v>3759.9999999995794</v>
      </c>
    </row>
    <row r="19" spans="1:12">
      <c r="A19" s="19" t="s">
        <v>22</v>
      </c>
      <c r="B19" s="30">
        <v>3.9066570890934503E-11</v>
      </c>
      <c r="C19" s="31">
        <v>7.3500039828565101E-11</v>
      </c>
      <c r="D19" s="31">
        <v>2.49538367440706E-10</v>
      </c>
      <c r="E19" s="31">
        <v>5030.9999999997999</v>
      </c>
      <c r="F19" s="31">
        <v>7.5426454944588005E-11</v>
      </c>
      <c r="G19" s="31">
        <v>4.2547288900353303E-11</v>
      </c>
      <c r="H19" s="31">
        <v>4.2556361080616201E-11</v>
      </c>
      <c r="I19" s="72">
        <v>4.0466877583773299E-11</v>
      </c>
      <c r="J19" s="73">
        <v>1</v>
      </c>
      <c r="K19" s="74">
        <v>0</v>
      </c>
      <c r="L19" s="68">
        <f t="shared" si="0"/>
        <v>5031.0000000003629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5864.0000000028504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4690.9999999969878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712.00000000010368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6240.0000000004202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4968.9999999996371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-2.1827872842550278E-11</v>
      </c>
      <c r="C29" s="42">
        <f t="shared" si="1"/>
        <v>0</v>
      </c>
      <c r="D29" s="42">
        <f t="shared" si="1"/>
        <v>-6.8212102632969618E-13</v>
      </c>
      <c r="E29" s="42">
        <f t="shared" si="1"/>
        <v>0</v>
      </c>
      <c r="F29" s="42">
        <f t="shared" si="1"/>
        <v>0</v>
      </c>
      <c r="G29" s="42">
        <f t="shared" si="1"/>
        <v>2.3646862246096134E-11</v>
      </c>
      <c r="H29" s="42">
        <f t="shared" si="1"/>
        <v>0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160000</v>
      </c>
    </row>
    <row r="33" spans="1:2">
      <c r="A33" s="45" t="s">
        <v>36</v>
      </c>
      <c r="B33" s="46">
        <f>SUMPRODUCT(B15:I19,B4:I8)-15*SUM(L15:L19)</f>
        <v>-316574.9999999688</v>
      </c>
    </row>
    <row r="34" spans="1:2">
      <c r="A34" s="45" t="s">
        <v>37</v>
      </c>
      <c r="B34" s="46">
        <f>SUMPRODUCT(L15:L19,K4:K8)</f>
        <v>108090.00000000281</v>
      </c>
    </row>
    <row r="35" spans="1:2">
      <c r="A35" s="22" t="s">
        <v>38</v>
      </c>
      <c r="B35" s="47">
        <f>50000*SUM(J15:K19)+6.5*SUM(L15:L19)</f>
        <v>558906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510421.00000003399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9"/>
  <sheetViews>
    <sheetView workbookViewId="0">
      <selection activeCell="F12" sqref="F12"/>
    </sheetView>
  </sheetViews>
  <sheetFormatPr defaultColWidth="9" defaultRowHeight="15"/>
  <cols>
    <col min="2" max="2" width="13.5703125" customWidth="1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15309</v>
      </c>
      <c r="C9" s="24">
        <v>9288</v>
      </c>
      <c r="D9" s="24">
        <v>476</v>
      </c>
      <c r="E9" s="24">
        <v>5031</v>
      </c>
      <c r="F9" s="24">
        <v>3284</v>
      </c>
      <c r="G9" s="24">
        <v>12375</v>
      </c>
      <c r="H9" s="24">
        <v>999</v>
      </c>
      <c r="I9" s="24">
        <v>762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65">
        <v>0</v>
      </c>
      <c r="J15" s="66">
        <v>0</v>
      </c>
      <c r="K15" s="67">
        <v>0</v>
      </c>
      <c r="L15" s="68">
        <f t="shared" ref="L15:L19" si="0">SUM(B15:I15)</f>
        <v>0</v>
      </c>
    </row>
    <row r="16" spans="1:12">
      <c r="A16" s="16" t="s">
        <v>19</v>
      </c>
      <c r="B16" s="28">
        <v>15309</v>
      </c>
      <c r="C16" s="29">
        <v>9.144823090108329E-13</v>
      </c>
      <c r="D16" s="29">
        <v>5.1709085558224902E-13</v>
      </c>
      <c r="E16" s="29">
        <v>1.81539536609417E-13</v>
      </c>
      <c r="F16" s="29">
        <v>4.1889779047769102E-13</v>
      </c>
      <c r="G16" s="29">
        <v>1.6513459756433899E-12</v>
      </c>
      <c r="H16" s="29">
        <v>8.61262323591621E-12</v>
      </c>
      <c r="I16" s="69">
        <v>761.99999999999898</v>
      </c>
      <c r="J16" s="70">
        <v>0</v>
      </c>
      <c r="K16" s="71">
        <v>1</v>
      </c>
      <c r="L16" s="68">
        <f t="shared" si="0"/>
        <v>16071.000000000011</v>
      </c>
    </row>
    <row r="17" spans="1:12">
      <c r="A17" s="16" t="s">
        <v>20</v>
      </c>
      <c r="B17" s="28">
        <v>9.7374407591629799E-13</v>
      </c>
      <c r="C17" s="29">
        <v>9288</v>
      </c>
      <c r="D17" s="29">
        <v>7.4465026184564895E-13</v>
      </c>
      <c r="E17" s="29">
        <v>1.7012497383632801E-13</v>
      </c>
      <c r="F17" s="29">
        <v>3.6318404778546301E-13</v>
      </c>
      <c r="G17" s="29">
        <v>5.1433873259007004E-13</v>
      </c>
      <c r="H17" s="29">
        <v>5.6630699098662496E-13</v>
      </c>
      <c r="I17" s="69">
        <v>5.9838048052824099E-13</v>
      </c>
      <c r="J17" s="70">
        <v>1</v>
      </c>
      <c r="K17" s="71">
        <v>0</v>
      </c>
      <c r="L17" s="68">
        <f t="shared" si="0"/>
        <v>9288.0000000000018</v>
      </c>
    </row>
    <row r="18" spans="1:12">
      <c r="A18" s="16" t="s">
        <v>21</v>
      </c>
      <c r="B18" s="28">
        <v>5.4481393244951602E-13</v>
      </c>
      <c r="C18" s="29">
        <v>1.5103205954837101E-12</v>
      </c>
      <c r="D18" s="29">
        <v>475.99999999999699</v>
      </c>
      <c r="E18" s="29">
        <v>3.77620170198304E-13</v>
      </c>
      <c r="F18" s="29">
        <v>3284</v>
      </c>
      <c r="G18" s="29">
        <v>12375</v>
      </c>
      <c r="H18" s="29">
        <v>998.99999999999102</v>
      </c>
      <c r="I18" s="69">
        <v>7.3789197410670101E-13</v>
      </c>
      <c r="J18" s="70">
        <v>0</v>
      </c>
      <c r="K18" s="71">
        <v>2</v>
      </c>
      <c r="L18" s="68">
        <f t="shared" si="0"/>
        <v>17133.999999999993</v>
      </c>
    </row>
    <row r="19" spans="1:12">
      <c r="A19" s="19" t="s">
        <v>22</v>
      </c>
      <c r="B19" s="30">
        <v>1.4407235170766801E-13</v>
      </c>
      <c r="C19" s="31">
        <v>2.6138486540119602E-13</v>
      </c>
      <c r="D19" s="31">
        <v>1.2240302939147301E-12</v>
      </c>
      <c r="E19" s="31">
        <v>5031</v>
      </c>
      <c r="F19" s="31">
        <v>3.14771140251851E-13</v>
      </c>
      <c r="G19" s="31">
        <v>1.95455369325574E-13</v>
      </c>
      <c r="H19" s="31">
        <v>2.16365160247285E-13</v>
      </c>
      <c r="I19" s="72">
        <v>1.55089754635042E-13</v>
      </c>
      <c r="J19" s="73">
        <v>1</v>
      </c>
      <c r="K19" s="74">
        <v>0</v>
      </c>
      <c r="L19" s="68">
        <f t="shared" si="0"/>
        <v>5031.0000000000018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0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3928.9999999999891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711.99999999999818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22866.000000000007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4968.9999999999982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0</v>
      </c>
      <c r="C29" s="42">
        <f t="shared" si="1"/>
        <v>0</v>
      </c>
      <c r="D29" s="42">
        <f t="shared" si="1"/>
        <v>5.1159076974727213E-13</v>
      </c>
      <c r="E29" s="42">
        <f t="shared" si="1"/>
        <v>0</v>
      </c>
      <c r="F29" s="42">
        <f t="shared" si="1"/>
        <v>0</v>
      </c>
      <c r="G29" s="42">
        <f t="shared" si="1"/>
        <v>0</v>
      </c>
      <c r="H29" s="42">
        <f t="shared" si="1"/>
        <v>0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163000</v>
      </c>
    </row>
    <row r="33" spans="1:2">
      <c r="A33" s="45" t="s">
        <v>36</v>
      </c>
      <c r="B33" s="46">
        <f>SUMPRODUCT(B15:I19,B4:I8)-15*SUM(L15:L19)</f>
        <v>-247995</v>
      </c>
    </row>
    <row r="34" spans="1:2">
      <c r="A34" s="45" t="s">
        <v>37</v>
      </c>
      <c r="B34" s="46">
        <f>SUMPRODUCT(L15:L19,K4:K8)</f>
        <v>102165.00000000001</v>
      </c>
    </row>
    <row r="35" spans="1:2">
      <c r="A35" s="22" t="s">
        <v>38</v>
      </c>
      <c r="B35" s="47">
        <f>50000*SUM(J15:K19)+6.5*SUM(L15:L19)</f>
        <v>558906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576076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39"/>
  <sheetViews>
    <sheetView workbookViewId="0">
      <selection activeCell="B4" sqref="B4:I8"/>
    </sheetView>
  </sheetViews>
  <sheetFormatPr defaultColWidth="9" defaultRowHeight="15"/>
  <cols>
    <col min="2" max="2" width="13.5703125" customWidth="1"/>
  </cols>
  <sheetData>
    <row r="1" spans="1:20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0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20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20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20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20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20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20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20">
      <c r="A9" s="22" t="s">
        <v>23</v>
      </c>
      <c r="B9" s="23">
        <v>18371</v>
      </c>
      <c r="C9" s="24">
        <v>11146</v>
      </c>
      <c r="D9" s="24">
        <v>571</v>
      </c>
      <c r="E9" s="24">
        <v>6037</v>
      </c>
      <c r="F9" s="24">
        <v>3940</v>
      </c>
      <c r="G9" s="24">
        <v>14849</v>
      </c>
      <c r="H9" s="24">
        <v>1199</v>
      </c>
      <c r="I9" s="24">
        <v>914</v>
      </c>
      <c r="J9" s="59" t="s">
        <v>24</v>
      </c>
      <c r="K9" s="25"/>
      <c r="L9" s="59" t="s">
        <v>24</v>
      </c>
    </row>
    <row r="10" spans="1:20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  <c r="P10" s="98" t="s">
        <v>6</v>
      </c>
      <c r="Q10" s="98" t="s">
        <v>7</v>
      </c>
      <c r="R10" s="99">
        <v>2020</v>
      </c>
      <c r="S10" s="99">
        <v>2021</v>
      </c>
      <c r="T10" s="99">
        <v>2022</v>
      </c>
    </row>
    <row r="11" spans="1:20">
      <c r="P11" s="99"/>
      <c r="Q11" s="99"/>
      <c r="R11" s="99"/>
      <c r="S11" s="99"/>
      <c r="T11" s="99"/>
    </row>
    <row r="12" spans="1:20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P12" s="79" t="s">
        <v>18</v>
      </c>
      <c r="Q12" s="80">
        <v>5670</v>
      </c>
      <c r="R12" s="81">
        <f t="shared" ref="R12:R19" si="0">Q12*1.8</f>
        <v>10206</v>
      </c>
      <c r="S12" s="81">
        <f t="shared" ref="S12:S19" si="1">R12*1.5</f>
        <v>15309</v>
      </c>
      <c r="T12" s="82">
        <f t="shared" ref="T12:T19" si="2">S12*1.2</f>
        <v>18370.8</v>
      </c>
    </row>
    <row r="13" spans="1:20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  <c r="P13" s="79" t="s">
        <v>10</v>
      </c>
      <c r="Q13" s="83">
        <v>3440</v>
      </c>
      <c r="R13" s="84">
        <f t="shared" si="0"/>
        <v>6192</v>
      </c>
      <c r="S13" s="84">
        <f t="shared" si="1"/>
        <v>9288</v>
      </c>
      <c r="T13" s="85">
        <f t="shared" si="2"/>
        <v>11145.6</v>
      </c>
    </row>
    <row r="14" spans="1:20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  <c r="P14" s="79" t="s">
        <v>11</v>
      </c>
      <c r="Q14" s="83">
        <v>176</v>
      </c>
      <c r="R14" s="84">
        <f t="shared" si="0"/>
        <v>316.8</v>
      </c>
      <c r="S14" s="84">
        <f t="shared" si="1"/>
        <v>475.20000000000005</v>
      </c>
      <c r="T14" s="85">
        <f t="shared" si="2"/>
        <v>570.24</v>
      </c>
    </row>
    <row r="15" spans="1:20">
      <c r="A15" s="13" t="s">
        <v>17</v>
      </c>
      <c r="B15" s="26">
        <v>18371</v>
      </c>
      <c r="C15" s="27">
        <v>11146</v>
      </c>
      <c r="D15" s="27">
        <v>571</v>
      </c>
      <c r="E15" s="27">
        <v>6037</v>
      </c>
      <c r="F15" s="27">
        <v>3940</v>
      </c>
      <c r="G15" s="27">
        <v>14849</v>
      </c>
      <c r="H15" s="27">
        <v>1199</v>
      </c>
      <c r="I15" s="65">
        <v>914</v>
      </c>
      <c r="J15" s="66">
        <v>0</v>
      </c>
      <c r="K15" s="67">
        <v>3</v>
      </c>
      <c r="L15" s="68">
        <f t="shared" ref="L15:L19" si="3">SUM(B15:I15)</f>
        <v>57027</v>
      </c>
      <c r="P15" s="79" t="s">
        <v>12</v>
      </c>
      <c r="Q15" s="83">
        <v>1863</v>
      </c>
      <c r="R15" s="84">
        <f t="shared" si="0"/>
        <v>3353.4</v>
      </c>
      <c r="S15" s="84">
        <f t="shared" si="1"/>
        <v>5030.1000000000004</v>
      </c>
      <c r="T15" s="85">
        <f t="shared" si="2"/>
        <v>6036.12</v>
      </c>
    </row>
    <row r="16" spans="1:20">
      <c r="A16" s="16" t="s">
        <v>19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69">
        <v>0</v>
      </c>
      <c r="J16" s="70">
        <v>0</v>
      </c>
      <c r="K16" s="71">
        <v>0</v>
      </c>
      <c r="L16" s="68">
        <f t="shared" si="3"/>
        <v>0</v>
      </c>
      <c r="P16" s="79" t="s">
        <v>13</v>
      </c>
      <c r="Q16" s="83">
        <v>1216</v>
      </c>
      <c r="R16" s="84">
        <f t="shared" si="0"/>
        <v>2188.8000000000002</v>
      </c>
      <c r="S16" s="84">
        <f t="shared" si="1"/>
        <v>3283.2000000000003</v>
      </c>
      <c r="T16" s="85">
        <f t="shared" si="2"/>
        <v>3939.84</v>
      </c>
    </row>
    <row r="17" spans="1:20">
      <c r="A17" s="16" t="s">
        <v>20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69">
        <v>0</v>
      </c>
      <c r="J17" s="70">
        <v>0</v>
      </c>
      <c r="K17" s="71">
        <v>0</v>
      </c>
      <c r="L17" s="68">
        <f t="shared" si="3"/>
        <v>0</v>
      </c>
      <c r="P17" s="79" t="s">
        <v>14</v>
      </c>
      <c r="Q17" s="83">
        <v>4583</v>
      </c>
      <c r="R17" s="84">
        <f t="shared" si="0"/>
        <v>8249.4</v>
      </c>
      <c r="S17" s="84">
        <f t="shared" si="1"/>
        <v>12374.099999999999</v>
      </c>
      <c r="T17" s="85">
        <f t="shared" si="2"/>
        <v>14848.919999999998</v>
      </c>
    </row>
    <row r="18" spans="1:20">
      <c r="A18" s="16" t="s">
        <v>21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69">
        <v>0</v>
      </c>
      <c r="J18" s="70">
        <v>0</v>
      </c>
      <c r="K18" s="71">
        <v>0</v>
      </c>
      <c r="L18" s="68">
        <f t="shared" si="3"/>
        <v>0</v>
      </c>
      <c r="P18" s="79" t="s">
        <v>15</v>
      </c>
      <c r="Q18" s="83">
        <v>370</v>
      </c>
      <c r="R18" s="84">
        <f t="shared" si="0"/>
        <v>666</v>
      </c>
      <c r="S18" s="84">
        <f t="shared" si="1"/>
        <v>999</v>
      </c>
      <c r="T18" s="85">
        <f t="shared" si="2"/>
        <v>1198.8</v>
      </c>
    </row>
    <row r="19" spans="1:20">
      <c r="A19" s="19" t="s">
        <v>22</v>
      </c>
      <c r="B19" s="30"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72">
        <v>0</v>
      </c>
      <c r="J19" s="73">
        <v>0</v>
      </c>
      <c r="K19" s="74">
        <v>0</v>
      </c>
      <c r="L19" s="68">
        <f t="shared" si="3"/>
        <v>0</v>
      </c>
      <c r="P19" s="79" t="s">
        <v>16</v>
      </c>
      <c r="Q19" s="86">
        <v>282</v>
      </c>
      <c r="R19" s="84">
        <f t="shared" si="0"/>
        <v>507.6</v>
      </c>
      <c r="S19" s="84">
        <f t="shared" si="1"/>
        <v>761.40000000000009</v>
      </c>
      <c r="T19" s="85">
        <f t="shared" si="2"/>
        <v>913.68000000000006</v>
      </c>
    </row>
    <row r="21" spans="1:20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20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20">
      <c r="A23" s="13" t="s">
        <v>17</v>
      </c>
      <c r="B23" s="37">
        <f>J15*J10+K15*L10-L15</f>
        <v>2973</v>
      </c>
      <c r="C23" s="9"/>
      <c r="D23" s="9"/>
      <c r="E23" s="9"/>
      <c r="F23" s="9"/>
      <c r="G23" s="9"/>
      <c r="H23" s="9"/>
      <c r="I23" s="76"/>
    </row>
    <row r="24" spans="1:20">
      <c r="A24" s="16" t="s">
        <v>19</v>
      </c>
      <c r="B24" s="38">
        <f>J16*J10+K16*L10-L16</f>
        <v>0</v>
      </c>
      <c r="C24" s="9"/>
      <c r="D24" s="9"/>
      <c r="E24" s="9"/>
      <c r="F24" s="9"/>
      <c r="G24" s="9"/>
      <c r="H24" s="9"/>
      <c r="I24" s="76"/>
    </row>
    <row r="25" spans="1:20">
      <c r="A25" s="16" t="s">
        <v>20</v>
      </c>
      <c r="B25" s="38">
        <f>J17*J10+K17*L10-L17</f>
        <v>0</v>
      </c>
      <c r="C25" s="9"/>
      <c r="D25" s="9"/>
      <c r="E25" s="9"/>
      <c r="F25" s="9"/>
      <c r="G25" s="9"/>
      <c r="H25" s="9"/>
      <c r="I25" s="76"/>
    </row>
    <row r="26" spans="1:20">
      <c r="A26" s="16" t="s">
        <v>21</v>
      </c>
      <c r="B26" s="38">
        <f>J18*J10+K18*L10-L18</f>
        <v>0</v>
      </c>
      <c r="C26" s="9"/>
      <c r="D26" s="9"/>
      <c r="E26" s="9"/>
      <c r="F26" s="9"/>
      <c r="G26" s="9"/>
      <c r="H26" s="9"/>
      <c r="I26" s="76"/>
    </row>
    <row r="27" spans="1:20">
      <c r="A27" s="19" t="s">
        <v>22</v>
      </c>
      <c r="B27" s="39">
        <f>J19*J10+K19*L10-L19</f>
        <v>0</v>
      </c>
      <c r="C27" s="40"/>
      <c r="D27" s="40"/>
      <c r="E27" s="40"/>
      <c r="F27" s="40"/>
      <c r="G27" s="40"/>
      <c r="H27" s="40"/>
      <c r="I27" s="77"/>
    </row>
    <row r="28" spans="1:20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20">
      <c r="A29" s="22" t="s">
        <v>33</v>
      </c>
      <c r="B29" s="42">
        <f t="shared" ref="B29:I29" si="4">B9-SUM(B15:B19)</f>
        <v>0</v>
      </c>
      <c r="C29" s="42">
        <f t="shared" si="4"/>
        <v>0</v>
      </c>
      <c r="D29" s="42">
        <f t="shared" si="4"/>
        <v>0</v>
      </c>
      <c r="E29" s="42">
        <f t="shared" si="4"/>
        <v>0</v>
      </c>
      <c r="F29" s="42">
        <f t="shared" si="4"/>
        <v>0</v>
      </c>
      <c r="G29" s="42">
        <f t="shared" si="4"/>
        <v>0</v>
      </c>
      <c r="H29" s="42">
        <f t="shared" si="4"/>
        <v>0</v>
      </c>
      <c r="I29" s="42">
        <f t="shared" si="4"/>
        <v>0</v>
      </c>
    </row>
    <row r="31" spans="1:20">
      <c r="A31" s="8" t="s">
        <v>34</v>
      </c>
      <c r="B31" s="9"/>
    </row>
    <row r="32" spans="1:20">
      <c r="A32" s="43" t="s">
        <v>35</v>
      </c>
      <c r="B32" s="44">
        <f>SUMPRODUCT(J15:J19,J4:J8)+SUMPRODUCT(K15:K19,L4:L8)</f>
        <v>150000</v>
      </c>
    </row>
    <row r="33" spans="1:2">
      <c r="A33" s="45" t="s">
        <v>36</v>
      </c>
      <c r="B33" s="46">
        <f>SUMPRODUCT(B15:I19,B4:I8)-15*SUM(L15:L19)</f>
        <v>46026</v>
      </c>
    </row>
    <row r="34" spans="1:2">
      <c r="A34" s="45" t="s">
        <v>37</v>
      </c>
      <c r="B34" s="46">
        <f>SUMPRODUCT(L15:L19,K4:K8)</f>
        <v>114054</v>
      </c>
    </row>
    <row r="35" spans="1:2">
      <c r="A35" s="22" t="s">
        <v>38</v>
      </c>
      <c r="B35" s="47">
        <f>50000*SUM(J15:K19)+6.5*SUM(L15:L19)</f>
        <v>520675.5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830755.5</v>
      </c>
    </row>
  </sheetData>
  <mergeCells count="10">
    <mergeCell ref="P10:P11"/>
    <mergeCell ref="Q10:Q11"/>
    <mergeCell ref="R10:R11"/>
    <mergeCell ref="S10:S11"/>
    <mergeCell ref="T10:T11"/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9"/>
  <sheetViews>
    <sheetView workbookViewId="0">
      <selection activeCell="G12" sqref="G12"/>
    </sheetView>
  </sheetViews>
  <sheetFormatPr defaultColWidth="9" defaultRowHeight="15"/>
  <cols>
    <col min="2" max="2" width="14.140625" customWidth="1"/>
  </cols>
  <sheetData>
    <row r="1" spans="1:12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0" t="s">
        <v>2</v>
      </c>
      <c r="C2" s="91"/>
      <c r="D2" s="91"/>
      <c r="E2" s="91"/>
      <c r="F2" s="91"/>
      <c r="G2" s="91"/>
      <c r="H2" s="91"/>
      <c r="I2" s="91"/>
      <c r="J2" s="92" t="s">
        <v>3</v>
      </c>
      <c r="K2" s="94" t="s">
        <v>4</v>
      </c>
      <c r="L2" s="96" t="s">
        <v>5</v>
      </c>
    </row>
    <row r="3" spans="1:12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2" t="s">
        <v>14</v>
      </c>
      <c r="H3" s="12" t="s">
        <v>15</v>
      </c>
      <c r="I3" s="12" t="s">
        <v>16</v>
      </c>
      <c r="J3" s="93"/>
      <c r="K3" s="95"/>
      <c r="L3" s="97"/>
    </row>
    <row r="4" spans="1:12">
      <c r="A4" s="13" t="s">
        <v>17</v>
      </c>
      <c r="B4" s="113">
        <v>11</v>
      </c>
      <c r="C4" s="113">
        <v>28</v>
      </c>
      <c r="D4" s="113">
        <v>35</v>
      </c>
      <c r="E4" s="113">
        <v>37</v>
      </c>
      <c r="F4" s="113">
        <v>18</v>
      </c>
      <c r="G4" s="113">
        <v>4</v>
      </c>
      <c r="H4" s="113">
        <v>6</v>
      </c>
      <c r="I4" s="113">
        <v>7</v>
      </c>
      <c r="J4" s="50">
        <v>30000</v>
      </c>
      <c r="K4" s="51">
        <v>2</v>
      </c>
      <c r="L4" s="52">
        <v>50000</v>
      </c>
    </row>
    <row r="5" spans="1:12">
      <c r="A5" s="16" t="s">
        <v>19</v>
      </c>
      <c r="B5" s="113">
        <v>4</v>
      </c>
      <c r="C5" s="113">
        <v>25</v>
      </c>
      <c r="D5" s="113">
        <v>37</v>
      </c>
      <c r="E5" s="113">
        <v>43</v>
      </c>
      <c r="F5" s="113">
        <v>22</v>
      </c>
      <c r="G5" s="113">
        <v>11</v>
      </c>
      <c r="H5" s="113">
        <v>14</v>
      </c>
      <c r="I5" s="113">
        <v>4</v>
      </c>
      <c r="J5" s="53">
        <v>25000</v>
      </c>
      <c r="K5" s="54">
        <v>3</v>
      </c>
      <c r="L5" s="55">
        <v>42000</v>
      </c>
    </row>
    <row r="6" spans="1:12">
      <c r="A6" s="16" t="s">
        <v>20</v>
      </c>
      <c r="B6" s="113">
        <v>11</v>
      </c>
      <c r="C6" s="113">
        <v>19</v>
      </c>
      <c r="D6" s="113">
        <v>34</v>
      </c>
      <c r="E6" s="113">
        <v>46</v>
      </c>
      <c r="F6" s="113">
        <v>25</v>
      </c>
      <c r="G6" s="113">
        <v>20</v>
      </c>
      <c r="H6" s="113">
        <v>25</v>
      </c>
      <c r="I6" s="113">
        <v>15</v>
      </c>
      <c r="J6" s="53">
        <v>22000</v>
      </c>
      <c r="K6" s="54">
        <v>2.5</v>
      </c>
      <c r="L6" s="55">
        <v>37500</v>
      </c>
    </row>
    <row r="7" spans="1:12">
      <c r="A7" s="16" t="s">
        <v>21</v>
      </c>
      <c r="B7" s="113">
        <v>17</v>
      </c>
      <c r="C7" s="113">
        <v>24</v>
      </c>
      <c r="D7" s="113">
        <v>27</v>
      </c>
      <c r="E7" s="113">
        <v>27</v>
      </c>
      <c r="F7" s="113">
        <v>9</v>
      </c>
      <c r="G7" s="113">
        <v>9</v>
      </c>
      <c r="H7" s="113">
        <v>15</v>
      </c>
      <c r="I7" s="113">
        <v>14</v>
      </c>
      <c r="J7" s="53">
        <v>22000</v>
      </c>
      <c r="K7" s="54">
        <v>1.5</v>
      </c>
      <c r="L7" s="55">
        <v>37500</v>
      </c>
    </row>
    <row r="8" spans="1:12">
      <c r="A8" s="19" t="s">
        <v>22</v>
      </c>
      <c r="B8" s="114">
        <v>49</v>
      </c>
      <c r="C8" s="114">
        <v>44</v>
      </c>
      <c r="D8" s="114">
        <v>32</v>
      </c>
      <c r="E8" s="114">
        <v>11</v>
      </c>
      <c r="F8" s="114">
        <v>29</v>
      </c>
      <c r="G8" s="114">
        <v>41</v>
      </c>
      <c r="H8" s="114">
        <v>44</v>
      </c>
      <c r="I8" s="114">
        <v>46</v>
      </c>
      <c r="J8" s="56">
        <v>24000</v>
      </c>
      <c r="K8" s="57">
        <v>1</v>
      </c>
      <c r="L8" s="58">
        <v>40000</v>
      </c>
    </row>
    <row r="9" spans="1:12">
      <c r="A9" s="22" t="s">
        <v>23</v>
      </c>
      <c r="B9" s="23">
        <v>18371</v>
      </c>
      <c r="C9" s="24">
        <v>11146</v>
      </c>
      <c r="D9" s="24">
        <v>571</v>
      </c>
      <c r="E9" s="24">
        <v>6037</v>
      </c>
      <c r="F9" s="24">
        <v>3940</v>
      </c>
      <c r="G9" s="24">
        <v>14849</v>
      </c>
      <c r="H9" s="24">
        <v>1199</v>
      </c>
      <c r="I9" s="24">
        <v>914</v>
      </c>
      <c r="J9" s="59" t="s">
        <v>24</v>
      </c>
      <c r="K9" s="25"/>
      <c r="L9" s="59" t="s">
        <v>24</v>
      </c>
    </row>
    <row r="10" spans="1:12">
      <c r="A10" s="25"/>
      <c r="B10" s="9"/>
      <c r="C10" s="9"/>
      <c r="D10" s="9"/>
      <c r="E10" s="9"/>
      <c r="F10" s="9"/>
      <c r="G10" s="9"/>
      <c r="H10" s="9"/>
      <c r="I10" s="9"/>
      <c r="J10" s="60">
        <v>10000</v>
      </c>
      <c r="K10" s="9"/>
      <c r="L10" s="60">
        <v>20000</v>
      </c>
    </row>
    <row r="12" spans="1:12">
      <c r="A12" s="8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38.25">
      <c r="A13" s="10"/>
      <c r="B13" s="90" t="s">
        <v>26</v>
      </c>
      <c r="C13" s="91"/>
      <c r="D13" s="91"/>
      <c r="E13" s="91"/>
      <c r="F13" s="91"/>
      <c r="G13" s="91"/>
      <c r="H13" s="91"/>
      <c r="I13" s="91"/>
      <c r="J13" s="61" t="s">
        <v>27</v>
      </c>
      <c r="K13" s="62" t="s">
        <v>28</v>
      </c>
      <c r="L13" s="63" t="s">
        <v>29</v>
      </c>
    </row>
    <row r="14" spans="1:12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  <c r="I14" s="12" t="s">
        <v>16</v>
      </c>
      <c r="J14" s="49" t="s">
        <v>30</v>
      </c>
      <c r="K14" s="49" t="s">
        <v>30</v>
      </c>
      <c r="L14" s="64" t="s">
        <v>30</v>
      </c>
    </row>
    <row r="15" spans="1:12">
      <c r="A15" s="13" t="s">
        <v>17</v>
      </c>
      <c r="B15" s="26">
        <v>2.6714043585482199E-13</v>
      </c>
      <c r="C15" s="27">
        <v>1.5146866498258101E-13</v>
      </c>
      <c r="D15" s="27">
        <v>1.5144221794713701E-13</v>
      </c>
      <c r="E15" s="27">
        <v>4.0127826151867698E-14</v>
      </c>
      <c r="F15" s="27">
        <v>1.3156340033725201E-13</v>
      </c>
      <c r="G15" s="27">
        <v>14849</v>
      </c>
      <c r="H15" s="27">
        <v>1199</v>
      </c>
      <c r="I15" s="65">
        <v>913.99999999999</v>
      </c>
      <c r="J15" s="66">
        <v>0</v>
      </c>
      <c r="K15" s="67">
        <v>1</v>
      </c>
      <c r="L15" s="68">
        <f t="shared" ref="L15:L19" si="0">SUM(B15:I15)</f>
        <v>16961.999999999989</v>
      </c>
    </row>
    <row r="16" spans="1:12">
      <c r="A16" s="16" t="s">
        <v>19</v>
      </c>
      <c r="B16" s="28">
        <v>18371</v>
      </c>
      <c r="C16" s="29">
        <v>1.49319242176119E-13</v>
      </c>
      <c r="D16" s="29">
        <v>8.5577968356221602E-14</v>
      </c>
      <c r="E16" s="29">
        <v>2.9418244091549703E-14</v>
      </c>
      <c r="F16" s="29">
        <v>6.8127406773605303E-14</v>
      </c>
      <c r="G16" s="29">
        <v>9.9337405385453496E-14</v>
      </c>
      <c r="H16" s="29">
        <v>9.0380649931713801E-14</v>
      </c>
      <c r="I16" s="69">
        <v>9.4484825492644103E-12</v>
      </c>
      <c r="J16" s="70">
        <v>0</v>
      </c>
      <c r="K16" s="71">
        <v>1</v>
      </c>
      <c r="L16" s="68">
        <f t="shared" si="0"/>
        <v>18371.000000000011</v>
      </c>
    </row>
    <row r="17" spans="1:12">
      <c r="A17" s="16" t="s">
        <v>20</v>
      </c>
      <c r="B17" s="28">
        <v>1.85199538445933E-13</v>
      </c>
      <c r="C17" s="29">
        <v>11146</v>
      </c>
      <c r="D17" s="29">
        <v>1.25567238989395E-13</v>
      </c>
      <c r="E17" s="29">
        <v>2.7578299075974598E-14</v>
      </c>
      <c r="F17" s="29">
        <v>5.9010616838956206E-14</v>
      </c>
      <c r="G17" s="29">
        <v>5.4596979309317798E-14</v>
      </c>
      <c r="H17" s="29">
        <v>4.6932360850797599E-14</v>
      </c>
      <c r="I17" s="69">
        <v>9.3159683888545804E-14</v>
      </c>
      <c r="J17" s="70">
        <v>0</v>
      </c>
      <c r="K17" s="71">
        <v>1</v>
      </c>
      <c r="L17" s="68">
        <f t="shared" si="0"/>
        <v>11146</v>
      </c>
    </row>
    <row r="18" spans="1:12">
      <c r="A18" s="16" t="s">
        <v>21</v>
      </c>
      <c r="B18" s="28">
        <v>9.3832229901550303E-14</v>
      </c>
      <c r="C18" s="29">
        <v>2.5437534091382801E-13</v>
      </c>
      <c r="D18" s="29">
        <v>570.99999999999898</v>
      </c>
      <c r="E18" s="29">
        <v>6.1295518105173297E-14</v>
      </c>
      <c r="F18" s="29">
        <v>3940</v>
      </c>
      <c r="G18" s="29">
        <v>1.57453605453375E-13</v>
      </c>
      <c r="H18" s="29">
        <v>9.67011215471151E-14</v>
      </c>
      <c r="I18" s="69">
        <v>1.13501102613343E-13</v>
      </c>
      <c r="J18" s="70">
        <v>1</v>
      </c>
      <c r="K18" s="71">
        <v>0</v>
      </c>
      <c r="L18" s="68">
        <f t="shared" si="0"/>
        <v>4510.9999999999991</v>
      </c>
    </row>
    <row r="19" spans="1:12">
      <c r="A19" s="19" t="s">
        <v>22</v>
      </c>
      <c r="B19" s="30">
        <v>2.3478496426726902E-14</v>
      </c>
      <c r="C19" s="31">
        <v>4.2470412029388902E-14</v>
      </c>
      <c r="D19" s="31">
        <v>2.17071094644709E-13</v>
      </c>
      <c r="E19" s="31">
        <v>6037</v>
      </c>
      <c r="F19" s="31">
        <v>5.1116843728012102E-14</v>
      </c>
      <c r="G19" s="31">
        <v>2.63992398261239E-14</v>
      </c>
      <c r="H19" s="31">
        <v>2.5722129369287999E-14</v>
      </c>
      <c r="I19" s="72">
        <v>2.50081912020354E-14</v>
      </c>
      <c r="J19" s="73">
        <v>1</v>
      </c>
      <c r="K19" s="74">
        <v>0</v>
      </c>
      <c r="L19" s="68">
        <f t="shared" si="0"/>
        <v>6037</v>
      </c>
    </row>
    <row r="21" spans="1:12">
      <c r="A21" s="32" t="s">
        <v>31</v>
      </c>
      <c r="B21" s="9"/>
      <c r="C21" s="9"/>
      <c r="D21" s="9"/>
      <c r="E21" s="33"/>
      <c r="F21" s="33"/>
      <c r="G21" s="33"/>
      <c r="H21" s="33"/>
      <c r="I21" s="33"/>
    </row>
    <row r="22" spans="1:12">
      <c r="A22" s="34" t="s">
        <v>8</v>
      </c>
      <c r="B22" s="35" t="s">
        <v>32</v>
      </c>
      <c r="C22" s="36"/>
      <c r="D22" s="36"/>
      <c r="E22" s="36"/>
      <c r="F22" s="36"/>
      <c r="G22" s="36"/>
      <c r="H22" s="36"/>
      <c r="I22" s="75"/>
    </row>
    <row r="23" spans="1:12">
      <c r="A23" s="13" t="s">
        <v>17</v>
      </c>
      <c r="B23" s="37">
        <f>J15*J10+K15*L10-L15</f>
        <v>3038.0000000000109</v>
      </c>
      <c r="C23" s="9"/>
      <c r="D23" s="9"/>
      <c r="E23" s="9"/>
      <c r="F23" s="9"/>
      <c r="G23" s="9"/>
      <c r="H23" s="9"/>
      <c r="I23" s="76"/>
    </row>
    <row r="24" spans="1:12">
      <c r="A24" s="16" t="s">
        <v>19</v>
      </c>
      <c r="B24" s="38">
        <f>J16*J10+K16*L10-L16</f>
        <v>1628.9999999999891</v>
      </c>
      <c r="C24" s="9"/>
      <c r="D24" s="9"/>
      <c r="E24" s="9"/>
      <c r="F24" s="9"/>
      <c r="G24" s="9"/>
      <c r="H24" s="9"/>
      <c r="I24" s="76"/>
    </row>
    <row r="25" spans="1:12">
      <c r="A25" s="16" t="s">
        <v>20</v>
      </c>
      <c r="B25" s="38">
        <f>J17*J10+K17*L10-L17</f>
        <v>8854</v>
      </c>
      <c r="C25" s="9"/>
      <c r="D25" s="9"/>
      <c r="E25" s="9"/>
      <c r="F25" s="9"/>
      <c r="G25" s="9"/>
      <c r="H25" s="9"/>
      <c r="I25" s="76"/>
    </row>
    <row r="26" spans="1:12">
      <c r="A26" s="16" t="s">
        <v>21</v>
      </c>
      <c r="B26" s="38">
        <f>J18*J10+K18*L10-L18</f>
        <v>5489.0000000000009</v>
      </c>
      <c r="C26" s="9"/>
      <c r="D26" s="9"/>
      <c r="E26" s="9"/>
      <c r="F26" s="9"/>
      <c r="G26" s="9"/>
      <c r="H26" s="9"/>
      <c r="I26" s="76"/>
    </row>
    <row r="27" spans="1:12">
      <c r="A27" s="19" t="s">
        <v>22</v>
      </c>
      <c r="B27" s="39">
        <f>J19*J10+K19*L10-L19</f>
        <v>3963</v>
      </c>
      <c r="C27" s="40"/>
      <c r="D27" s="40"/>
      <c r="E27" s="40"/>
      <c r="F27" s="40"/>
      <c r="G27" s="40"/>
      <c r="H27" s="40"/>
      <c r="I27" s="77"/>
    </row>
    <row r="28" spans="1:12">
      <c r="A28" s="41"/>
      <c r="B28" s="12" t="s">
        <v>9</v>
      </c>
      <c r="C28" s="12" t="s">
        <v>10</v>
      </c>
      <c r="D28" s="12" t="s">
        <v>11</v>
      </c>
      <c r="E28" s="12" t="s">
        <v>12</v>
      </c>
      <c r="F28" s="12" t="s">
        <v>13</v>
      </c>
      <c r="G28" s="12" t="s">
        <v>14</v>
      </c>
      <c r="H28" s="12" t="s">
        <v>15</v>
      </c>
      <c r="I28" s="78" t="s">
        <v>16</v>
      </c>
    </row>
    <row r="29" spans="1:12">
      <c r="A29" s="22" t="s">
        <v>33</v>
      </c>
      <c r="B29" s="42">
        <f t="shared" ref="B29:I29" si="1">B9-SUM(B15:B19)</f>
        <v>0</v>
      </c>
      <c r="C29" s="42">
        <f t="shared" si="1"/>
        <v>0</v>
      </c>
      <c r="D29" s="42">
        <f t="shared" si="1"/>
        <v>0</v>
      </c>
      <c r="E29" s="42">
        <f t="shared" si="1"/>
        <v>0</v>
      </c>
      <c r="F29" s="42">
        <f t="shared" si="1"/>
        <v>0</v>
      </c>
      <c r="G29" s="42">
        <f t="shared" si="1"/>
        <v>0</v>
      </c>
      <c r="H29" s="42">
        <f t="shared" si="1"/>
        <v>0</v>
      </c>
      <c r="I29" s="42">
        <f t="shared" si="1"/>
        <v>0</v>
      </c>
    </row>
    <row r="31" spans="1:12">
      <c r="A31" s="8" t="s">
        <v>34</v>
      </c>
      <c r="B31" s="9"/>
    </row>
    <row r="32" spans="1:12">
      <c r="A32" s="43" t="s">
        <v>35</v>
      </c>
      <c r="B32" s="44">
        <f>SUMPRODUCT(J15:J19,J4:J8)+SUMPRODUCT(K15:K19,L4:L8)</f>
        <v>175500</v>
      </c>
    </row>
    <row r="33" spans="1:2">
      <c r="A33" s="45" t="s">
        <v>36</v>
      </c>
      <c r="B33" s="46">
        <f>SUMPRODUCT(B15:I19,B4:I8)-15*SUM(L15:L19)</f>
        <v>-379875</v>
      </c>
    </row>
    <row r="34" spans="1:2">
      <c r="A34" s="45" t="s">
        <v>37</v>
      </c>
      <c r="B34" s="46">
        <f>SUMPRODUCT(L15:L19,K4:K8)</f>
        <v>129705.5</v>
      </c>
    </row>
    <row r="35" spans="1:2">
      <c r="A35" s="22" t="s">
        <v>38</v>
      </c>
      <c r="B35" s="47">
        <f>50000*SUM(J15:K19)+6.5*SUM(L15:L19)</f>
        <v>620675.5</v>
      </c>
    </row>
    <row r="36" spans="1:2">
      <c r="A36" s="9"/>
      <c r="B36" s="9"/>
    </row>
    <row r="37" spans="1:2">
      <c r="A37" s="9"/>
      <c r="B37" s="9"/>
    </row>
    <row r="38" spans="1:2">
      <c r="A38" s="8" t="s">
        <v>39</v>
      </c>
      <c r="B38" s="9"/>
    </row>
    <row r="39" spans="1:2">
      <c r="A39" s="48" t="s">
        <v>35</v>
      </c>
      <c r="B39" s="105">
        <f>SUM(B32:B35)</f>
        <v>546006</v>
      </c>
    </row>
  </sheetData>
  <mergeCells count="5">
    <mergeCell ref="B2:I2"/>
    <mergeCell ref="B13:I13"/>
    <mergeCell ref="J2:J3"/>
    <mergeCell ref="K2:K3"/>
    <mergeCell ref="L2:L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Q1</vt:lpstr>
      <vt:lpstr>2020a</vt:lpstr>
      <vt:lpstr>2020b</vt:lpstr>
      <vt:lpstr>2020c</vt:lpstr>
      <vt:lpstr>2021a</vt:lpstr>
      <vt:lpstr>2021b</vt:lpstr>
      <vt:lpstr>2021c</vt:lpstr>
      <vt:lpstr>2022a</vt:lpstr>
      <vt:lpstr>2022b</vt:lpstr>
      <vt:lpstr>2022c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2020-09-22T23:59:11Z</dcterms:created>
  <dcterms:modified xsi:type="dcterms:W3CDTF">2020-09-22T23:59:54Z</dcterms:modified>
</cp:coreProperties>
</file>